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54DA9DE-AFCF-480F-A306-66D18879A208}" xr6:coauthVersionLast="47" xr6:coauthVersionMax="47" xr10:uidLastSave="{00000000-0000-0000-0000-000000000000}"/>
  <bookViews>
    <workbookView xWindow="-120" yWindow="-120" windowWidth="20730" windowHeight="11160" tabRatio="885" firstSheet="2" activeTab="2" xr2:uid="{00000000-000D-0000-FFFF-FFFF00000000}"/>
  </bookViews>
  <sheets>
    <sheet name="Tariff rates" sheetId="1" r:id="rId1"/>
    <sheet name="Annex 2" sheetId="2" r:id="rId2"/>
    <sheet name="Annex 3 Total O&amp;M" sheetId="3" r:id="rId3"/>
    <sheet name="Annex 3a - Water" sheetId="17" r:id="rId4"/>
    <sheet name="Annex 3a- Sewer" sheetId="18" r:id="rId5"/>
    <sheet name="Annex 4 Debt WSP" sheetId="26" r:id="rId6"/>
    <sheet name="Annex 5 Perf WSP" sheetId="8" r:id="rId7"/>
    <sheet name="Annex 6 Calc AT" sheetId="10" r:id="rId8"/>
    <sheet name="Annex 7" sheetId="11" r:id="rId9"/>
    <sheet name="Annex 8" sheetId="12" r:id="rId10"/>
    <sheet name="Annex 9" sheetId="13" r:id="rId11"/>
    <sheet name="Annex 10" sheetId="14" r:id="rId12"/>
    <sheet name="Banding" sheetId="23" r:id="rId13"/>
    <sheet name="KACWASCO tariff bands" sheetId="24" r:id="rId14"/>
    <sheet name="PRODUCTION AND BILLING" sheetId="52" r:id="rId15"/>
    <sheet name="Consumption pattern 2020.21" sheetId="48" r:id="rId16"/>
    <sheet name="Kakamega data" sheetId="22" r:id="rId17"/>
    <sheet name="Kakamega Financials" sheetId="16" r:id="rId18"/>
    <sheet name="1. World bank loan" sheetId="37" r:id="rId19"/>
    <sheet name="2. KfW Loan Schedule" sheetId="38" r:id="rId20"/>
    <sheet name="7.Combined  Loan  Schedule " sheetId="39" r:id="rId21"/>
    <sheet name=" Investments 2021-26" sheetId="42" r:id="rId22"/>
    <sheet name="Asset Renewal schedule" sheetId="47" r:id="rId23"/>
    <sheet name="Asset Maintenance " sheetId="44" r:id="rId24"/>
    <sheet name="Sheet1" sheetId="49" r:id="rId25"/>
    <sheet name="NRW Self Assessment Matrix" sheetId="45" r:id="rId26"/>
    <sheet name="NRW Management " sheetId="46" r:id="rId27"/>
    <sheet name="NEW CONSUMPTIONS PATTERN" sheetId="53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A">#N/A</definedName>
    <definedName name="\ALLPAGE">#REF!</definedName>
    <definedName name="\B">#N/A</definedName>
    <definedName name="\C">#N/A</definedName>
    <definedName name="\D">#N/A</definedName>
    <definedName name="\E">[1]FLASH!#REF!</definedName>
    <definedName name="\F">[1]FLASH!#REF!</definedName>
    <definedName name="\GENERAL">#REF!</definedName>
    <definedName name="\P" localSheetId="18">[1]FLASH!#REF!</definedName>
    <definedName name="\P" localSheetId="19">[1]FLASH!#REF!</definedName>
    <definedName name="\P" localSheetId="20">[1]FLASH!#REF!</definedName>
    <definedName name="\P">#REF!</definedName>
    <definedName name="\Y">#REF!</definedName>
    <definedName name="_______MTX11">#N/A</definedName>
    <definedName name="_______PG1">#N/A</definedName>
    <definedName name="_______PG2">#N/A</definedName>
    <definedName name="_______PG4">#N/A</definedName>
    <definedName name="______MTX11">#N/A</definedName>
    <definedName name="______PG1">#N/A</definedName>
    <definedName name="______PG2">#N/A</definedName>
    <definedName name="______PG4">#N/A</definedName>
    <definedName name="_____MTX11">#N/A</definedName>
    <definedName name="_____PG1">#N/A</definedName>
    <definedName name="_____PG2">#N/A</definedName>
    <definedName name="_____PG4">#N/A</definedName>
    <definedName name="____MTX11">#N/A</definedName>
    <definedName name="____PG1">#N/A</definedName>
    <definedName name="____PG2">#N/A</definedName>
    <definedName name="____PG4">#N/A</definedName>
    <definedName name="___MTX11">#N/A</definedName>
    <definedName name="___PG1">#N/A</definedName>
    <definedName name="___PG2">#N/A</definedName>
    <definedName name="___PG4">#N/A</definedName>
    <definedName name="__MTX11">#N/A</definedName>
    <definedName name="__PG1">#N/A</definedName>
    <definedName name="__PG2">#N/A</definedName>
    <definedName name="__PG4">#N/A</definedName>
    <definedName name="_1___0ACwvu.Pag" hidden="1">[2]Summary!#REF!</definedName>
    <definedName name="_2___0Swvu.Pag" hidden="1">[2]Summary!#REF!</definedName>
    <definedName name="_3___0Rwvu.Pag" hidden="1">[2]Summary!#REF!</definedName>
    <definedName name="_ATS3">#REF!</definedName>
    <definedName name="_MTX11">#N/A</definedName>
    <definedName name="_PG1">#N/A</definedName>
    <definedName name="_PG2">#N/A</definedName>
    <definedName name="_PG4">#N/A</definedName>
    <definedName name="A" localSheetId="18" hidden="1">{#N/A,#N/A,FALSE,"Finanzplan";#N/A,#N/A,FALSE,"Bilanz";#N/A,#N/A,FALSE,"GuV"}</definedName>
    <definedName name="A" localSheetId="19" hidden="1">{#N/A,#N/A,FALSE,"Finanzplan";#N/A,#N/A,FALSE,"Bilanz";#N/A,#N/A,FALSE,"GuV"}</definedName>
    <definedName name="A" localSheetId="20" hidden="1">{#N/A,#N/A,FALSE,"Finanzplan";#N/A,#N/A,FALSE,"Bilanz";#N/A,#N/A,FALSE,"GuV"}</definedName>
    <definedName name="A" hidden="1">{#N/A,#N/A,FALSE,"Finanzplan";#N/A,#N/A,FALSE,"Bilanz";#N/A,#N/A,FALSE,"GuV"}</definedName>
    <definedName name="Account_Balance">#REF!</definedName>
    <definedName name="Affiliate">'[3]Corporate Support'!#REF!</definedName>
    <definedName name="Anfangsbestand">#N/A</definedName>
    <definedName name="AnteilBarzahlung">#N/A</definedName>
    <definedName name="AnteilKreditkarte">#N/A</definedName>
    <definedName name="AnteilRechnung">#N/A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SUMPTIONS">#REF!</definedName>
    <definedName name="basis">#N/A</definedName>
    <definedName name="Beg_Bal">#REF!</definedName>
    <definedName name="BEGINNderARBEITEN">#N/A</definedName>
    <definedName name="BG_Del" hidden="1">15</definedName>
    <definedName name="BG_Ins" hidden="1">4</definedName>
    <definedName name="BG_Mod" hidden="1">6</definedName>
    <definedName name="BSHEET">#REF!</definedName>
    <definedName name="Budget">#REF!</definedName>
    <definedName name="budgetjahr">#N/A</definedName>
    <definedName name="CAPEX">#REF!</definedName>
    <definedName name="CAPEX2">#REF!</definedName>
    <definedName name="CAPEX3">#REF!</definedName>
    <definedName name="CAPEX4">#REF!</definedName>
    <definedName name="CAPITALALLOW">#REF!</definedName>
    <definedName name="case1">'[4]Data table &amp; Scenario Analysis'!$A$14</definedName>
    <definedName name="case3">'[5]Data table'!#REF!</definedName>
    <definedName name="case4">'[5]Data table'!#REF!</definedName>
    <definedName name="CASH">#N/A</definedName>
    <definedName name="CASH1">#N/A</definedName>
    <definedName name="CASHFLOW">#REF!</definedName>
    <definedName name="CASHFLOW_1">#REF!</definedName>
    <definedName name="Company_Name">#N/A</definedName>
    <definedName name="Corp_ops">'[3]Corporate Support'!#REF!</definedName>
    <definedName name="_xlnm.Criteria">#N/A</definedName>
    <definedName name="Cum_Int">#REF!</definedName>
    <definedName name="d" localSheetId="18" hidden="1">{#N/A,#N/A,FALSE,"Finanzplan";#N/A,#N/A,FALSE,"Bilanz";#N/A,#N/A,FALSE,"GuV"}</definedName>
    <definedName name="d" localSheetId="19" hidden="1">{#N/A,#N/A,FALSE,"Finanzplan";#N/A,#N/A,FALSE,"Bilanz";#N/A,#N/A,FALSE,"GuV"}</definedName>
    <definedName name="d" localSheetId="20" hidden="1">{#N/A,#N/A,FALSE,"Finanzplan";#N/A,#N/A,FALSE,"Bilanz";#N/A,#N/A,FALSE,"GuV"}</definedName>
    <definedName name="d" hidden="1">{#N/A,#N/A,FALSE,"Finanzplan";#N/A,#N/A,FALSE,"Bilanz";#N/A,#N/A,FALSE,"GuV"}</definedName>
    <definedName name="Data">#REF!</definedName>
    <definedName name="data4">'[5]Data table'!#REF!</definedName>
    <definedName name="data5">'[5]Data table'!#REF!</definedName>
    <definedName name="data6">'[5]Data table'!#REF!</definedName>
    <definedName name="Days_In_Year">#N/A</definedName>
    <definedName name="dd" hidden="1">#REF!</definedName>
    <definedName name="DEBT_DRAW">#REF!</definedName>
    <definedName name="DEPRECIATION">#REF!</definedName>
    <definedName name="Difference">#REF!</definedName>
    <definedName name="Disaggregations">#REF!</definedName>
    <definedName name="double1">#N/A</definedName>
    <definedName name="double2">#N/A</definedName>
    <definedName name="double3">#N/A</definedName>
    <definedName name="double4">#N/A</definedName>
    <definedName name="double5">#N/A</definedName>
    <definedName name="double6">#N/A</definedName>
    <definedName name="ECONINDIC">#REF!</definedName>
    <definedName name="End_Bal">#REF!</definedName>
    <definedName name="EQUITY">#REF!</definedName>
    <definedName name="Eurobond">'[3]Interest Expense'!#REF!</definedName>
    <definedName name="EXCHANGERATE">#REF!</definedName>
    <definedName name="Extra_Pay">#REF!</definedName>
    <definedName name="EY_Deutsch">'[6]Lead PL'!$E$1:$F$65536</definedName>
    <definedName name="EY_Englisch">'[6]Lead PL'!$C$1:$D$65536</definedName>
    <definedName name="EY_GKV">'[6]Lead PL'!$A$15:$IV$24</definedName>
    <definedName name="EY_GKV2">'[6]Lead PL'!$A$61:$IV$62</definedName>
    <definedName name="EY_GKV4">[6]PL20!$A$127:$IV$136</definedName>
    <definedName name="EY_UKV">'[6]Lead PL'!$A$10:$IV$14</definedName>
    <definedName name="EY_UKV2">'[6]Lead PL'!$A$59:$IV$60</definedName>
    <definedName name="EY_UKV4">[6]PL20!$A$122:$IV$126</definedName>
    <definedName name="EY_UKV5">'[6]Lead PL'!$A$28:$IV$28</definedName>
    <definedName name="FIN_ASSUMP">#REF!</definedName>
    <definedName name="Flussschiff_GmbH" localSheetId="18" hidden="1">{#N/A,#N/A,FALSE,"Finanzplan";#N/A,#N/A,FALSE,"Bilanz";#N/A,#N/A,FALSE,"GuV"}</definedName>
    <definedName name="Flussschiff_GmbH" localSheetId="19" hidden="1">{#N/A,#N/A,FALSE,"Finanzplan";#N/A,#N/A,FALSE,"Bilanz";#N/A,#N/A,FALSE,"GuV"}</definedName>
    <definedName name="Flussschiff_GmbH" localSheetId="20" hidden="1">{#N/A,#N/A,FALSE,"Finanzplan";#N/A,#N/A,FALSE,"Bilanz";#N/A,#N/A,FALSE,"GuV"}</definedName>
    <definedName name="Flussschiff_GmbH" hidden="1">{#N/A,#N/A,FALSE,"Finanzplan";#N/A,#N/A,FALSE,"Bilanz";#N/A,#N/A,FALSE,"GuV"}</definedName>
    <definedName name="FOREX">#REF!</definedName>
    <definedName name="frr" localSheetId="18" hidden="1">{#N/A,#N/A,FALSE,"Finanzplan";#N/A,#N/A,FALSE,"Bilanz";#N/A,#N/A,FALSE,"GuV"}</definedName>
    <definedName name="frr" localSheetId="19" hidden="1">{#N/A,#N/A,FALSE,"Finanzplan";#N/A,#N/A,FALSE,"Bilanz";#N/A,#N/A,FALSE,"GuV"}</definedName>
    <definedName name="frr" localSheetId="20" hidden="1">{#N/A,#N/A,FALSE,"Finanzplan";#N/A,#N/A,FALSE,"Bilanz";#N/A,#N/A,FALSE,"GuV"}</definedName>
    <definedName name="frr" hidden="1">{#N/A,#N/A,FALSE,"Finanzplan";#N/A,#N/A,FALSE,"Bilanz";#N/A,#N/A,FALSE,"GuV"}</definedName>
    <definedName name="früh">#N/A</definedName>
    <definedName name="frühanteil">#N/A</definedName>
    <definedName name="Full_Print">#REF!</definedName>
    <definedName name="fyCoverDraft">[6]Cover!$E$14</definedName>
    <definedName name="GRAPH_INTCOV">#REF!</definedName>
    <definedName name="GRAPH_OUTF">#REF!</definedName>
    <definedName name="GRAPH_REV">#REF!</definedName>
    <definedName name="GRAPH_ROA">#REF!</definedName>
    <definedName name="GRAPH_SUMM">#REF!</definedName>
    <definedName name="h" localSheetId="18" hidden="1">{#N/A,#N/A,FALSE,"Ausdruck PAX";#N/A,#N/A,FALSE,"Ausdruck KABINEN";#N/A,#N/A,FALSE,"Trend_Pax"}</definedName>
    <definedName name="h" localSheetId="19" hidden="1">{#N/A,#N/A,FALSE,"Ausdruck PAX";#N/A,#N/A,FALSE,"Ausdruck KABINEN";#N/A,#N/A,FALSE,"Trend_Pax"}</definedName>
    <definedName name="h" localSheetId="20" hidden="1">{#N/A,#N/A,FALSE,"Ausdruck PAX";#N/A,#N/A,FALSE,"Ausdruck KABINEN";#N/A,#N/A,FALSE,"Trend_Pax"}</definedName>
    <definedName name="h" hidden="1">{#N/A,#N/A,FALSE,"Ausdruck PAX";#N/A,#N/A,FALSE,"Ausdruck KABINEN";#N/A,#N/A,FALSE,"Trend_Pax"}</definedName>
    <definedName name="Header_Row">ROW(#REF!)</definedName>
    <definedName name="HP">#N/A</definedName>
    <definedName name="INDEX">#REF!</definedName>
    <definedName name="indexierung.pers">#N/A</definedName>
    <definedName name="infl">#N/A</definedName>
    <definedName name="Int">#REF!</definedName>
    <definedName name="INTEREST">#N/A</definedName>
    <definedName name="Interest_forecast">'[3]Interest Expense'!#REF!</definedName>
    <definedName name="Interest_Rate">#REF!</definedName>
    <definedName name="Interestpaid">'[3]Interest Expense'!#REF!</definedName>
    <definedName name="investment">[7]Scen!#REF!</definedName>
    <definedName name="IPEX_Aufschlag">#N/A</definedName>
    <definedName name="IPEX_BaseInterestRate_RSU">#N/A</definedName>
    <definedName name="IPEX_ChangeVal_1">#N/A</definedName>
    <definedName name="IPEX_ChangeVal_2">#N/A</definedName>
    <definedName name="IPEX_ChangeVal_3" localSheetId="20">[7]Scen!#REF!</definedName>
    <definedName name="IPEX_ChangeVal_3">[7]Scen!#REF!</definedName>
    <definedName name="IPEX_ChangeVal_4" localSheetId="20">[7]Scen!#REF!</definedName>
    <definedName name="IPEX_ChangeVal_4">[7]Scen!#REF!</definedName>
    <definedName name="IPEX_Forwardkosten">#N/A</definedName>
    <definedName name="IPEX_FXName_RSU">#N/A</definedName>
    <definedName name="IPEX_FXwithUnits_RSU">#N/A</definedName>
    <definedName name="IPEX_GoalVal_1">#N/A</definedName>
    <definedName name="IPEX_GoalVal_2">#N/A</definedName>
    <definedName name="IPEX_GoalVal_3" localSheetId="20">[7]Scen!#REF!</definedName>
    <definedName name="IPEX_GoalVal_3">[7]Scen!#REF!</definedName>
    <definedName name="IPEX_GoalVal_4" localSheetId="20">[7]Scen!#REF!</definedName>
    <definedName name="IPEX_GoalVal_4">[7]Scen!#REF!</definedName>
    <definedName name="IPEX_RefiFaktor">#N/A</definedName>
    <definedName name="IPEX_Scenario">#N/A</definedName>
    <definedName name="IPEX_Scenario_Name">#N/A</definedName>
    <definedName name="IPEX_TargetVal_1">#N/A</definedName>
    <definedName name="IPEX_TargetVal_2">#N/A</definedName>
    <definedName name="IPEX_TargetVal_3" localSheetId="20">[7]Scen!#REF!</definedName>
    <definedName name="IPEX_TargetVal_3">[7]Scen!#REF!</definedName>
    <definedName name="IPEX_TargetVal_4" localSheetId="20">[7]Scen!#REF!</definedName>
    <definedName name="IPEX_TargetVal_4">[7]Scen!#REF!</definedName>
    <definedName name="IPEX_Tolerance">#N/A</definedName>
    <definedName name="IPEX_Unit">#N/A</definedName>
    <definedName name="IPEX_Vertical_Not_Selected">#N/A</definedName>
    <definedName name="IPEX_Vertical_Selected">#N/A</definedName>
    <definedName name="IPEX_Verysmallnumber_RSU">#N/A</definedName>
    <definedName name="jahr1">#N/A</definedName>
    <definedName name="k" localSheetId="18" hidden="1">{#N/A,#N/A,FALSE,"Finanzplan";#N/A,#N/A,FALSE,"Bilanz";#N/A,#N/A,FALSE,"GuV"}</definedName>
    <definedName name="k" localSheetId="19" hidden="1">{#N/A,#N/A,FALSE,"Finanzplan";#N/A,#N/A,FALSE,"Bilanz";#N/A,#N/A,FALSE,"GuV"}</definedName>
    <definedName name="k" localSheetId="20" hidden="1">{#N/A,#N/A,FALSE,"Finanzplan";#N/A,#N/A,FALSE,"Bilanz";#N/A,#N/A,FALSE,"GuV"}</definedName>
    <definedName name="k" hidden="1">{#N/A,#N/A,FALSE,"Finanzplan";#N/A,#N/A,FALSE,"Bilanz";#N/A,#N/A,FALSE,"GuV"}</definedName>
    <definedName name="Last_Row">IF(Values_Entered,Header_Row+Number_of_Payments,Header_Row)</definedName>
    <definedName name="Laufzeit">#N/A</definedName>
    <definedName name="LNK">#N/A</definedName>
    <definedName name="Loan_Amount">#REF!</definedName>
    <definedName name="LOAN_DET">#REF!</definedName>
    <definedName name="LOAN_DET2">#REF!</definedName>
    <definedName name="Loan_Start">#REF!</definedName>
    <definedName name="Loan_Years">#REF!</definedName>
    <definedName name="Metering">#REF!</definedName>
    <definedName name="mkk">'[8]Sample Design'!#REF!</definedName>
    <definedName name="Monat_Kennzahl" localSheetId="18" hidden="1">{#N/A,#N/A,FALSE,"Finanzplan";#N/A,#N/A,FALSE,"Bilanz";#N/A,#N/A,FALSE,"GuV"}</definedName>
    <definedName name="Monat_Kennzahl" localSheetId="19" hidden="1">{#N/A,#N/A,FALSE,"Finanzplan";#N/A,#N/A,FALSE,"Bilanz";#N/A,#N/A,FALSE,"GuV"}</definedName>
    <definedName name="Monat_Kennzahl" localSheetId="20" hidden="1">{#N/A,#N/A,FALSE,"Finanzplan";#N/A,#N/A,FALSE,"Bilanz";#N/A,#N/A,FALSE,"GuV"}</definedName>
    <definedName name="Monat_Kennzahl" hidden="1">{#N/A,#N/A,FALSE,"Finanzplan";#N/A,#N/A,FALSE,"Bilanz";#N/A,#N/A,FALSE,"GuV"}</definedName>
    <definedName name="MONATvorERÖFFNUNG">#N/A</definedName>
    <definedName name="Monetary_Precision">#REF!</definedName>
    <definedName name="MONTH">#N/A</definedName>
    <definedName name="MTX11A">#N/A</definedName>
    <definedName name="mwst">#N/A</definedName>
    <definedName name="Num_Pmt_Per_Year">#REF!</definedName>
    <definedName name="Number_of_Payments" localSheetId="5">MATCH(0.01,End_Bal,-1)+1</definedName>
    <definedName name="Number_of_Payments">MATCH(0.01,End_Bal,-1)+1</definedName>
    <definedName name="O" localSheetId="18" hidden="1">{#N/A,#N/A,FALSE,"Finanzplan";#N/A,#N/A,FALSE,"Bilanz";#N/A,#N/A,FALSE,"GuV"}</definedName>
    <definedName name="O" localSheetId="19" hidden="1">{#N/A,#N/A,FALSE,"Finanzplan";#N/A,#N/A,FALSE,"Bilanz";#N/A,#N/A,FALSE,"GuV"}</definedName>
    <definedName name="O" localSheetId="20" hidden="1">{#N/A,#N/A,FALSE,"Finanzplan";#N/A,#N/A,FALSE,"Bilanz";#N/A,#N/A,FALSE,"GuV"}</definedName>
    <definedName name="O" hidden="1">{#N/A,#N/A,FALSE,"Finanzplan";#N/A,#N/A,FALSE,"Bilanz";#N/A,#N/A,FALSE,"GuV"}</definedName>
    <definedName name="oo" localSheetId="18" hidden="1">{#N/A,#N/A,FALSE,"Finanzplan";#N/A,#N/A,FALSE,"Bilanz";#N/A,#N/A,FALSE,"GuV"}</definedName>
    <definedName name="oo" localSheetId="19" hidden="1">{#N/A,#N/A,FALSE,"Finanzplan";#N/A,#N/A,FALSE,"Bilanz";#N/A,#N/A,FALSE,"GuV"}</definedName>
    <definedName name="oo" localSheetId="20" hidden="1">{#N/A,#N/A,FALSE,"Finanzplan";#N/A,#N/A,FALSE,"Bilanz";#N/A,#N/A,FALSE,"GuV"}</definedName>
    <definedName name="oo" hidden="1">{#N/A,#N/A,FALSE,"Finanzplan";#N/A,#N/A,FALSE,"Bilanz";#N/A,#N/A,FALSE,"GuV"}</definedName>
    <definedName name="OPEX">#REF!</definedName>
    <definedName name="OPEX_WORK">#REF!</definedName>
    <definedName name="OPEX2">#REF!</definedName>
    <definedName name="OPEX3">#REF!</definedName>
    <definedName name="PANDL">#REF!</definedName>
    <definedName name="PAX" localSheetId="18" hidden="1">{#N/A,#N/A,FALSE,"Ausdruck PAX";#N/A,#N/A,FALSE,"Ausdruck KABINEN";#N/A,#N/A,FALSE,"Trend_Pax"}</definedName>
    <definedName name="PAX" localSheetId="19" hidden="1">{#N/A,#N/A,FALSE,"Ausdruck PAX";#N/A,#N/A,FALSE,"Ausdruck KABINEN";#N/A,#N/A,FALSE,"Trend_Pax"}</definedName>
    <definedName name="PAX" localSheetId="20" hidden="1">{#N/A,#N/A,FALSE,"Ausdruck PAX";#N/A,#N/A,FALSE,"Ausdruck KABINEN";#N/A,#N/A,FALSE,"Trend_Pax"}</definedName>
    <definedName name="PAX" hidden="1">{#N/A,#N/A,FALSE,"Ausdruck PAX";#N/A,#N/A,FALSE,"Ausdruck KABINEN";#N/A,#N/A,FALSE,"Trend_Pax"}</definedName>
    <definedName name="Pay_Date">#REF!</definedName>
    <definedName name="Pay_Num">#REF!</definedName>
    <definedName name="Payment_Date" localSheetId="5">DATE(YEAR(Loan_Start),MONTH(Loan_Start)+Payment_Number,DAY(Loan_Start))</definedName>
    <definedName name="Payment_Date">DATE(YEAR(Loan_Start),MONTH(Loan_Start)+Payment_Number,DAY(Loan_Start))</definedName>
    <definedName name="ppp" localSheetId="18" hidden="1">{#N/A,#N/A,FALSE,"Finanzplan";#N/A,#N/A,FALSE,"Bilanz";#N/A,#N/A,FALSE,"GuV"}</definedName>
    <definedName name="ppp" localSheetId="19" hidden="1">{#N/A,#N/A,FALSE,"Finanzplan";#N/A,#N/A,FALSE,"Bilanz";#N/A,#N/A,FALSE,"GuV"}</definedName>
    <definedName name="ppp" localSheetId="20" hidden="1">{#N/A,#N/A,FALSE,"Finanzplan";#N/A,#N/A,FALSE,"Bilanz";#N/A,#N/A,FALSE,"GuV"}</definedName>
    <definedName name="ppp" hidden="1">{#N/A,#N/A,FALSE,"Finanzplan";#N/A,#N/A,FALSE,"Bilanz";#N/A,#N/A,FALSE,"GuV"}</definedName>
    <definedName name="Präsivorlage" localSheetId="18" hidden="1">{#N/A,#N/A,FALSE,"Finanzplan";#N/A,#N/A,FALSE,"Bilanz";#N/A,#N/A,FALSE,"GuV"}</definedName>
    <definedName name="Präsivorlage" localSheetId="19" hidden="1">{#N/A,#N/A,FALSE,"Finanzplan";#N/A,#N/A,FALSE,"Bilanz";#N/A,#N/A,FALSE,"GuV"}</definedName>
    <definedName name="Präsivorlage" localSheetId="20" hidden="1">{#N/A,#N/A,FALSE,"Finanzplan";#N/A,#N/A,FALSE,"Bilanz";#N/A,#N/A,FALSE,"GuV"}</definedName>
    <definedName name="Präsivorlage" hidden="1">{#N/A,#N/A,FALSE,"Finanzplan";#N/A,#N/A,FALSE,"Bilanz";#N/A,#N/A,FALSE,"GuV"}</definedName>
    <definedName name="PRICE">#REF!</definedName>
    <definedName name="Princ">#REF!</definedName>
    <definedName name="Print">#REF!</definedName>
    <definedName name="_xlnm.Print_Area" localSheetId="18">#N/A</definedName>
    <definedName name="_xlnm.Print_Area" localSheetId="19">#N/A</definedName>
    <definedName name="_xlnm.Print_Area" localSheetId="20">#N/A</definedName>
    <definedName name="_xlnm.Print_Area">#REF!</definedName>
    <definedName name="PRINT_AREA_MI">#REF!</definedName>
    <definedName name="Print_Area_Reset">OFFSET(Full_Print,0,0,Last_Row)</definedName>
    <definedName name="PROJEKT">#N/A</definedName>
    <definedName name="R_Factor">#REF!</definedName>
    <definedName name="rabatt0">#N/A</definedName>
    <definedName name="rabatt1">#N/A</definedName>
    <definedName name="rabatt2">#N/A</definedName>
    <definedName name="rabatt3">#N/A</definedName>
    <definedName name="rabatt4">#N/A</definedName>
    <definedName name="rabatt5">#N/A</definedName>
    <definedName name="rabatt6">#N/A</definedName>
    <definedName name="rabatt7">#N/A</definedName>
    <definedName name="RATIOS">#REF!</definedName>
    <definedName name="Residual_difference">#REF!</definedName>
    <definedName name="REVENUE">#REF!</definedName>
    <definedName name="roomnights">#N/A</definedName>
    <definedName name="ROTADIFF">#REF!</definedName>
    <definedName name="s" localSheetId="18" hidden="1">{#N/A,#N/A,FALSE,"Input";#N/A,#N/A,FALSE,"P&amp;L";#N/A,#N/A,FALSE,"CF";#N/A,#N/A,FALSE,"Econ"}</definedName>
    <definedName name="s" localSheetId="19" hidden="1">{#N/A,#N/A,FALSE,"Input";#N/A,#N/A,FALSE,"P&amp;L";#N/A,#N/A,FALSE,"CF";#N/A,#N/A,FALSE,"Econ"}</definedName>
    <definedName name="s" localSheetId="20" hidden="1">{#N/A,#N/A,FALSE,"Input";#N/A,#N/A,FALSE,"P&amp;L";#N/A,#N/A,FALSE,"CF";#N/A,#N/A,FALSE,"Econ"}</definedName>
    <definedName name="s" hidden="1">{#N/A,#N/A,FALSE,"Input";#N/A,#N/A,FALSE,"P&amp;L";#N/A,#N/A,FALSE,"CF";#N/A,#N/A,FALSE,"Econ"}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hiffe" localSheetId="18" hidden="1">{#N/A,#N/A,FALSE,"Finanzplan";#N/A,#N/A,FALSE,"Bilanz";#N/A,#N/A,FALSE,"GuV"}</definedName>
    <definedName name="Schiffe" localSheetId="19" hidden="1">{#N/A,#N/A,FALSE,"Finanzplan";#N/A,#N/A,FALSE,"Bilanz";#N/A,#N/A,FALSE,"GuV"}</definedName>
    <definedName name="Schiffe" localSheetId="20" hidden="1">{#N/A,#N/A,FALSE,"Finanzplan";#N/A,#N/A,FALSE,"Bilanz";#N/A,#N/A,FALSE,"GuV"}</definedName>
    <definedName name="Schiffe" hidden="1">{#N/A,#N/A,FALSE,"Finanzplan";#N/A,#N/A,FALSE,"Bilanz";#N/A,#N/A,FALSE,"GuV"}</definedName>
    <definedName name="single1">#N/A</definedName>
    <definedName name="single2">#N/A</definedName>
    <definedName name="single3">#N/A</definedName>
    <definedName name="single4">#N/A</definedName>
    <definedName name="single5">#N/A</definedName>
    <definedName name="single6">#N/A</definedName>
    <definedName name="SUMMARY">#REF!</definedName>
    <definedName name="T" localSheetId="18">'[9]Annex 3a'!#REF!</definedName>
    <definedName name="T" localSheetId="19">'[9]Annex 3a'!#REF!</definedName>
    <definedName name="T" localSheetId="20">'[9]Annex 3a'!#REF!</definedName>
    <definedName name="T">'[10]Annex 3a'!#REF!</definedName>
    <definedName name="TAXATION">#REF!</definedName>
    <definedName name="TB">#REF!</definedName>
    <definedName name="te">#N/A</definedName>
    <definedName name="TextRefCopy1">'[8]Sample Design'!#REF!</definedName>
    <definedName name="TextRefCopy10">'[11]Repairs and maintenance'!#REF!</definedName>
    <definedName name="TextRefCopy101">#REF!</definedName>
    <definedName name="TextRefCopy103">#REF!</definedName>
    <definedName name="TextRefCopy104">#REF!</definedName>
    <definedName name="TextRefCopy105">#REF!</definedName>
    <definedName name="TextRefCopy107">#REF!</definedName>
    <definedName name="TextRefCopy109">#REF!</definedName>
    <definedName name="TextRefCopy11">'[11]Opening balances'!#REF!</definedName>
    <definedName name="TextRefCopy111">#REF!</definedName>
    <definedName name="TextRefCopy113">#REF!</definedName>
    <definedName name="TextRefCopy117">#REF!</definedName>
    <definedName name="TextRefCopy119">#REF!</definedName>
    <definedName name="TextRefCopy12">'[11]Repairs and maintenance'!#REF!</definedName>
    <definedName name="TextRefCopy121">#REF!</definedName>
    <definedName name="TextRefCopy124">#REF!</definedName>
    <definedName name="TextRefCopy126">#REF!</definedName>
    <definedName name="TextRefCopy129">#REF!</definedName>
    <definedName name="TextRefCopy13">'[8]Sample Design'!#REF!</definedName>
    <definedName name="TextRefCopy132">#REF!</definedName>
    <definedName name="TextRefCopy134">#REF!</definedName>
    <definedName name="TextRefCopy136">#REF!</definedName>
    <definedName name="TextRefCopy139">#REF!</definedName>
    <definedName name="TextRefCopy14">'[11]Repairs and maintenance'!#REF!</definedName>
    <definedName name="TextRefCopy141">#REF!</definedName>
    <definedName name="TextRefCopy142">#REF!</definedName>
    <definedName name="TextRefCopy144">#REF!</definedName>
    <definedName name="TextRefCopy146">#REF!</definedName>
    <definedName name="TextRefCopy149">#REF!</definedName>
    <definedName name="TextRefCopy15">'[11]Repairs and maintenance'!#REF!</definedName>
    <definedName name="TextRefCopy152">#REF!</definedName>
    <definedName name="TextRefCopy155">#REF!</definedName>
    <definedName name="TextRefCopy157">#REF!</definedName>
    <definedName name="TextRefCopy159">#REF!</definedName>
    <definedName name="TextRefCopy16">'[11]Opening balances'!#REF!</definedName>
    <definedName name="TextRefCopy161">#REF!</definedName>
    <definedName name="TextRefCopy162">#REF!</definedName>
    <definedName name="TextRefCopy17">'[11]Repairs and maintenance'!#REF!</definedName>
    <definedName name="TextRefCopy177">#REF!</definedName>
    <definedName name="TextRefCopy178">#REF!</definedName>
    <definedName name="TextRefCopy179">#REF!</definedName>
    <definedName name="TextRefCopy18">#REF!</definedName>
    <definedName name="TextRefCopy180">'[11]Repairs and maintenance'!#REF!</definedName>
    <definedName name="TextRefCopy181">'[11]Repairs and maintenance'!#REF!</definedName>
    <definedName name="TextRefCopy182">'[11]Repairs and maintenance'!#REF!</definedName>
    <definedName name="TextRefCopy183">'[11]Repairs and maintenance'!#REF!</definedName>
    <definedName name="TextRefCopy184">'[11]Repairs and maintenance'!#REF!</definedName>
    <definedName name="TextRefCopy185">'[11]Repairs and maintenance'!#REF!</definedName>
    <definedName name="TextRefCopy186">'[11]Repairs and maintenance'!#REF!</definedName>
    <definedName name="TextRefCopy187">'[11]Repairs and maintenance'!#REF!</definedName>
    <definedName name="TextRefCopy188">'[11]Repairs and maintenance'!#REF!</definedName>
    <definedName name="TextRefCopy189">'[11]Repairs and maintenance'!#REF!</definedName>
    <definedName name="TextRefCopy19">'[11]Repairs and maintenance'!#REF!</definedName>
    <definedName name="TextRefCopy190">'[11]Repairs and maintenance'!#REF!</definedName>
    <definedName name="TextRefCopy191">'[11]Repairs and maintenance'!#REF!</definedName>
    <definedName name="TextRefCopy192">'[11]Repairs and maintenance'!#REF!</definedName>
    <definedName name="TextRefCopy193">'[11]Repairs and maintenance'!#REF!</definedName>
    <definedName name="TextRefCopy194">'[11]Repairs and maintenance'!#REF!</definedName>
    <definedName name="TextRefCopy196">#REF!</definedName>
    <definedName name="TextRefCopy197">'[11]Repairs and maintenance'!#REF!</definedName>
    <definedName name="TextRefCopy198">#REF!</definedName>
    <definedName name="TextRefCopy199">#REF!</definedName>
    <definedName name="TextRefCopy2">'[8]Sample Design'!#REF!</definedName>
    <definedName name="TextRefCopy20">#REF!</definedName>
    <definedName name="TextRefCopy200">#REF!</definedName>
    <definedName name="TextRefCopy201">#REF!</definedName>
    <definedName name="TextRefCopy202">#REF!</definedName>
    <definedName name="TextRefCopy203">#REF!</definedName>
    <definedName name="TextRefCopy204">#REF!</definedName>
    <definedName name="TextRefCopy205">#REF!</definedName>
    <definedName name="TextRefCopy206">#REF!</definedName>
    <definedName name="TextRefCopy207">#REF!</definedName>
    <definedName name="TextRefCopy208">#REF!</definedName>
    <definedName name="TextRefCopy209">#REF!</definedName>
    <definedName name="TextRefCopy21">'[11]Repairs and maintenance'!#REF!</definedName>
    <definedName name="TextRefCopy212">#REF!</definedName>
    <definedName name="TextRefCopy218">'[11]Depreciation summary'!#REF!</definedName>
    <definedName name="TextRefCopy219">'[11]Depreciation summary'!#REF!</definedName>
    <definedName name="TextRefCopy229">'[11]Depreciation summary'!#REF!</definedName>
    <definedName name="TextRefCopy23">'[11]Repairs and maintenance'!#REF!</definedName>
    <definedName name="TextRefCopy24">'[11]Opening balances'!#REF!</definedName>
    <definedName name="TextRefCopy25">'[11]Repairs and maintenance'!#REF!</definedName>
    <definedName name="TextRefCopy26">'[8]Sample Design'!#REF!</definedName>
    <definedName name="TextRefCopy27">'[11]Repairs and maintenance'!#REF!</definedName>
    <definedName name="TextRefCopy28">'[8]Sample Design'!#REF!</definedName>
    <definedName name="TextRefCopy29">'[11]Repairs and maintenance'!#REF!</definedName>
    <definedName name="TextRefCopy3">#REF!</definedName>
    <definedName name="TextRefCopy30">'[11]Opening balances'!#REF!</definedName>
    <definedName name="TextRefCopy32">'[11]Opening balances'!#REF!</definedName>
    <definedName name="TextRefCopy33">[12]Lead!$K$27</definedName>
    <definedName name="TextRefCopy34">#REF!</definedName>
    <definedName name="TextRefCopy36">#REF!</definedName>
    <definedName name="TextRefCopy39">#REF!</definedName>
    <definedName name="TextRefCopy4">#REF!</definedName>
    <definedName name="TextRefCopy40">#REF!</definedName>
    <definedName name="TextRefCopy41">'[11]Repairs and maintenance'!#REF!</definedName>
    <definedName name="TextRefCopy42">#REF!</definedName>
    <definedName name="TextRefCopy43">#REF!</definedName>
    <definedName name="TextRefCopy47">#REF!</definedName>
    <definedName name="TextRefCopy48">#REF!</definedName>
    <definedName name="TextRefCopy5">'[11]Opening balances'!#REF!</definedName>
    <definedName name="TextRefCopy50">#REF!</definedName>
    <definedName name="TextRefCopy52">#REF!</definedName>
    <definedName name="TextRefCopy54">#REF!</definedName>
    <definedName name="TextRefCopy56">'[11]Repairs and maintenance'!#REF!</definedName>
    <definedName name="TextRefCopy58">'[11]Repairs and maintenance'!#REF!</definedName>
    <definedName name="TextRefCopy59">'[11]Repairs and maintenance'!#REF!</definedName>
    <definedName name="TextRefCopy6">'[11]Repairs and maintenance'!#REF!</definedName>
    <definedName name="TextRefCopy61">'[11]Repairs and maintenance'!#REF!</definedName>
    <definedName name="TextRefCopy62">'[11]Repairs and maintenance'!#REF!</definedName>
    <definedName name="TextRefCopy64">'[11]Repairs and maintenance'!#REF!</definedName>
    <definedName name="TextRefCopy7">#REF!</definedName>
    <definedName name="TextRefCopy70">'[11]Repairs and maintenance'!#REF!</definedName>
    <definedName name="TextRefCopy72">'[11]Repairs and maintenance'!#REF!</definedName>
    <definedName name="TextRefCopy74">#REF!</definedName>
    <definedName name="TextRefCopy76">#REF!</definedName>
    <definedName name="TextRefCopy78">#REF!</definedName>
    <definedName name="TextRefCopy8">'[11]Repairs and maintenance'!#REF!</definedName>
    <definedName name="TextRefCopy80">'[11]Repairs and maintenance'!#REF!</definedName>
    <definedName name="TextRefCopy82">'[11]Repairs and maintenance'!#REF!</definedName>
    <definedName name="TextRefCopy9">'[11]Opening balances'!#REF!</definedName>
    <definedName name="TextRefCopy90">#REF!</definedName>
    <definedName name="TextRefCopy92">#REF!</definedName>
    <definedName name="TextRefCopy94">#REF!</definedName>
    <definedName name="TextRefCopy97">#REF!</definedName>
    <definedName name="TextRefCopy99">#REF!</definedName>
    <definedName name="TextRefCopyRangeCount" hidden="1">230</definedName>
    <definedName name="TFR_ACT">#REF!</definedName>
    <definedName name="TFR_FORMULAE">#REF!</definedName>
    <definedName name="TFR_MAX">#REF!</definedName>
    <definedName name="Thousand">#N/A</definedName>
    <definedName name="Threshold">#REF!</definedName>
    <definedName name="TOT_DEBT">#REF!</definedName>
    <definedName name="Total_Interest">#REF!</definedName>
    <definedName name="Total_Pay">#REF!</definedName>
    <definedName name="totalgäste">#N/A</definedName>
    <definedName name="Values_Entered" localSheetId="5">IF(Loan_Amount*Interest_Rate*Loan_Years*Loan_Start&gt;0,1,0)</definedName>
    <definedName name="Values_Entered">IF(Loan_Amount*Interest_Rate*Loan_Years*Loan_Start&gt;0,1,0)</definedName>
    <definedName name="VERSION">#N/A</definedName>
    <definedName name="VersionPreOpening">#N/A</definedName>
    <definedName name="VOCIBS">[13]BASE!$A$2:$A$155</definedName>
    <definedName name="VOCIRBS">[13]BASE!$C$2:$C$155</definedName>
    <definedName name="VP">#N/A</definedName>
    <definedName name="WACC">#REF!</definedName>
    <definedName name="wrn.Ausdruck._.Auslastung." localSheetId="18" hidden="1">{#N/A,#N/A,FALSE,"Ausdruck PAX";#N/A,#N/A,FALSE,"Ausdruck KABINEN";#N/A,#N/A,FALSE,"Trend_Pax"}</definedName>
    <definedName name="wrn.Ausdruck._.Auslastung." localSheetId="19" hidden="1">{#N/A,#N/A,FALSE,"Ausdruck PAX";#N/A,#N/A,FALSE,"Ausdruck KABINEN";#N/A,#N/A,FALSE,"Trend_Pax"}</definedName>
    <definedName name="wrn.Ausdruck._.Auslastung." localSheetId="20" hidden="1">{#N/A,#N/A,FALSE,"Ausdruck PAX";#N/A,#N/A,FALSE,"Ausdruck KABINEN";#N/A,#N/A,FALSE,"Trend_Pax"}</definedName>
    <definedName name="wrn.Ausdruck._.Auslastung." hidden="1">{#N/A,#N/A,FALSE,"Ausdruck PAX";#N/A,#N/A,FALSE,"Ausdruck KABINEN";#N/A,#N/A,FALSE,"Trend_Pax"}</definedName>
    <definedName name="wrn.Monatsabschluß." localSheetId="18" hidden="1">{#N/A,#N/A,FALSE,"Finanzplan";#N/A,#N/A,FALSE,"Bilanz";#N/A,#N/A,FALSE,"GuV"}</definedName>
    <definedName name="wrn.Monatsabschluß." localSheetId="19" hidden="1">{#N/A,#N/A,FALSE,"Finanzplan";#N/A,#N/A,FALSE,"Bilanz";#N/A,#N/A,FALSE,"GuV"}</definedName>
    <definedName name="wrn.Monatsabschluß." localSheetId="20" hidden="1">{#N/A,#N/A,FALSE,"Finanzplan";#N/A,#N/A,FALSE,"Bilanz";#N/A,#N/A,FALSE,"GuV"}</definedName>
    <definedName name="wrn.Monatsabschluß." hidden="1">{#N/A,#N/A,FALSE,"Finanzplan";#N/A,#N/A,FALSE,"Bilanz";#N/A,#N/A,FALSE,"GuV"}</definedName>
    <definedName name="X" localSheetId="18" hidden="1">{#N/A,#N/A,FALSE,"Finanzplan";#N/A,#N/A,FALSE,"Bilanz";#N/A,#N/A,FALSE,"GuV"}</definedName>
    <definedName name="X" localSheetId="19" hidden="1">{#N/A,#N/A,FALSE,"Finanzplan";#N/A,#N/A,FALSE,"Bilanz";#N/A,#N/A,FALSE,"GuV"}</definedName>
    <definedName name="X" localSheetId="20" hidden="1">{#N/A,#N/A,FALSE,"Finanzplan";#N/A,#N/A,FALSE,"Bilanz";#N/A,#N/A,FALSE,"GuV"}</definedName>
    <definedName name="X" hidden="1">{#N/A,#N/A,FALSE,"Finanzplan";#N/A,#N/A,FALSE,"Bilanz";#N/A,#N/A,FALSE,"GuV"}</definedName>
    <definedName name="xxx" localSheetId="18" hidden="1">{#N/A,#N/A,FALSE,"Finanzplan";#N/A,#N/A,FALSE,"Bilanz";#N/A,#N/A,FALSE,"GuV"}</definedName>
    <definedName name="xxx" localSheetId="19" hidden="1">{#N/A,#N/A,FALSE,"Finanzplan";#N/A,#N/A,FALSE,"Bilanz";#N/A,#N/A,FALSE,"GuV"}</definedName>
    <definedName name="xxx" localSheetId="20" hidden="1">{#N/A,#N/A,FALSE,"Finanzplan";#N/A,#N/A,FALSE,"Bilanz";#N/A,#N/A,FALSE,"GuV"}</definedName>
    <definedName name="xxx" hidden="1">{#N/A,#N/A,FALSE,"Finanzplan";#N/A,#N/A,FALSE,"Bilanz";#N/A,#N/A,FALSE,"GuV"}</definedName>
    <definedName name="YEAR">'[14]START PAGE'!$E$27</definedName>
    <definedName name="yyy" localSheetId="18" hidden="1">{#N/A,#N/A,FALSE,"Finanzplan";#N/A,#N/A,FALSE,"Bilanz";#N/A,#N/A,FALSE,"GuV"}</definedName>
    <definedName name="yyy" localSheetId="19" hidden="1">{#N/A,#N/A,FALSE,"Finanzplan";#N/A,#N/A,FALSE,"Bilanz";#N/A,#N/A,FALSE,"GuV"}</definedName>
    <definedName name="yyy" localSheetId="20" hidden="1">{#N/A,#N/A,FALSE,"Finanzplan";#N/A,#N/A,FALSE,"Bilanz";#N/A,#N/A,FALSE,"GuV"}</definedName>
    <definedName name="yyy" hidden="1">{#N/A,#N/A,FALSE,"Finanzplan";#N/A,#N/A,FALSE,"Bilanz";#N/A,#N/A,FALSE,"GuV"}</definedName>
    <definedName name="z" localSheetId="18" hidden="1">{#N/A,#N/A,FALSE,"Input";#N/A,#N/A,FALSE,"Sum";#N/A,#N/A,FALSE,"P&amp;L";#N/A,#N/A,FALSE,"CF";#N/A,#N/A,FALSE,"Bal";#N/A,#N/A,FALSE,"Econ"}</definedName>
    <definedName name="z" localSheetId="19" hidden="1">{#N/A,#N/A,FALSE,"Input";#N/A,#N/A,FALSE,"Sum";#N/A,#N/A,FALSE,"P&amp;L";#N/A,#N/A,FALSE,"CF";#N/A,#N/A,FALSE,"Bal";#N/A,#N/A,FALSE,"Econ"}</definedName>
    <definedName name="z" localSheetId="20" hidden="1">{#N/A,#N/A,FALSE,"Input";#N/A,#N/A,FALSE,"Sum";#N/A,#N/A,FALSE,"P&amp;L";#N/A,#N/A,FALSE,"CF";#N/A,#N/A,FALSE,"Bal";#N/A,#N/A,FALSE,"Econ"}</definedName>
    <definedName name="z" hidden="1">{#N/A,#N/A,FALSE,"Input";#N/A,#N/A,FALSE,"Sum";#N/A,#N/A,FALSE,"P&amp;L";#N/A,#N/A,FALSE,"CF";#N/A,#N/A,FALSE,"Bal";#N/A,#N/A,FALSE,"Econ"}</definedName>
    <definedName name="Zimmer">#N/A</definedName>
    <definedName name="zzz" localSheetId="18" hidden="1">{#N/A,#N/A,FALSE,"Finanzplan";#N/A,#N/A,FALSE,"Bilanz";#N/A,#N/A,FALSE,"GuV"}</definedName>
    <definedName name="zzz" localSheetId="19" hidden="1">{#N/A,#N/A,FALSE,"Finanzplan";#N/A,#N/A,FALSE,"Bilanz";#N/A,#N/A,FALSE,"GuV"}</definedName>
    <definedName name="zzz" localSheetId="20" hidden="1">{#N/A,#N/A,FALSE,"Finanzplan";#N/A,#N/A,FALSE,"Bilanz";#N/A,#N/A,FALSE,"GuV"}</definedName>
    <definedName name="zzz" hidden="1">{#N/A,#N/A,FALSE,"Finanzplan";#N/A,#N/A,FALSE,"Bilanz";#N/A,#N/A,FALSE,"GuV"}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14" i="11" l="1"/>
  <c r="BO14" i="11" s="1"/>
  <c r="L75" i="18"/>
  <c r="J79" i="18"/>
  <c r="J78" i="18"/>
  <c r="J77" i="18"/>
  <c r="J76" i="18"/>
  <c r="J75" i="18"/>
  <c r="I16" i="52"/>
  <c r="G16" i="52"/>
  <c r="E6" i="23"/>
  <c r="E7" i="23"/>
  <c r="E8" i="23"/>
  <c r="E9" i="23"/>
  <c r="E10" i="23"/>
  <c r="E11" i="23"/>
  <c r="E14" i="23"/>
  <c r="AJ37" i="11"/>
  <c r="AJ38" i="11"/>
  <c r="AJ39" i="11"/>
  <c r="AK37" i="11"/>
  <c r="AL37" i="11" s="1"/>
  <c r="H17" i="2"/>
  <c r="E43" i="16"/>
  <c r="E39" i="16"/>
  <c r="I13" i="3"/>
  <c r="B13" i="3"/>
  <c r="M20" i="3"/>
  <c r="O20" i="3" s="1"/>
  <c r="Q20" i="3" s="1"/>
  <c r="S20" i="3" s="1"/>
  <c r="K23" i="3"/>
  <c r="M23" i="3" s="1"/>
  <c r="O23" i="3" s="1"/>
  <c r="Q23" i="3" s="1"/>
  <c r="S23" i="3" s="1"/>
  <c r="K27" i="3"/>
  <c r="M27" i="3" s="1"/>
  <c r="O27" i="3" s="1"/>
  <c r="Q27" i="3" s="1"/>
  <c r="S27" i="3" s="1"/>
  <c r="K28" i="3"/>
  <c r="M28" i="3" s="1"/>
  <c r="O28" i="3" s="1"/>
  <c r="Q28" i="3" s="1"/>
  <c r="S28" i="3" s="1"/>
  <c r="K29" i="3"/>
  <c r="M29" i="3" s="1"/>
  <c r="O29" i="3" s="1"/>
  <c r="Q29" i="3" s="1"/>
  <c r="S29" i="3" s="1"/>
  <c r="K30" i="3"/>
  <c r="M30" i="3" s="1"/>
  <c r="O30" i="3" s="1"/>
  <c r="Q30" i="3" s="1"/>
  <c r="S30" i="3" s="1"/>
  <c r="K31" i="3"/>
  <c r="M31" i="3" s="1"/>
  <c r="O31" i="3" s="1"/>
  <c r="Q31" i="3" s="1"/>
  <c r="S31" i="3" s="1"/>
  <c r="K32" i="3"/>
  <c r="M32" i="3" s="1"/>
  <c r="O32" i="3" s="1"/>
  <c r="Q32" i="3" s="1"/>
  <c r="S32" i="3" s="1"/>
  <c r="K33" i="3"/>
  <c r="M33" i="3" s="1"/>
  <c r="O33" i="3" s="1"/>
  <c r="Q33" i="3" s="1"/>
  <c r="S33" i="3" s="1"/>
  <c r="K34" i="3"/>
  <c r="M34" i="3" s="1"/>
  <c r="O34" i="3" s="1"/>
  <c r="Q34" i="3" s="1"/>
  <c r="S34" i="3" s="1"/>
  <c r="K35" i="3"/>
  <c r="M35" i="3" s="1"/>
  <c r="O35" i="3" s="1"/>
  <c r="Q35" i="3" s="1"/>
  <c r="S35" i="3" s="1"/>
  <c r="E53" i="42"/>
  <c r="E22" i="42"/>
  <c r="E14" i="42"/>
  <c r="Y8" i="44"/>
  <c r="Z8" i="44" s="1"/>
  <c r="AA8" i="44" s="1"/>
  <c r="X8" i="44"/>
  <c r="W8" i="44"/>
  <c r="W7" i="44"/>
  <c r="X7" i="44" s="1"/>
  <c r="Y7" i="44" s="1"/>
  <c r="Z7" i="44" s="1"/>
  <c r="AA7" i="44" s="1"/>
  <c r="X28" i="44"/>
  <c r="Y28" i="44" s="1"/>
  <c r="Z28" i="44" s="1"/>
  <c r="AA28" i="44" s="1"/>
  <c r="X30" i="44"/>
  <c r="Y30" i="44" s="1"/>
  <c r="Z30" i="44" s="1"/>
  <c r="AA30" i="44" s="1"/>
  <c r="W12" i="44"/>
  <c r="X12" i="44" s="1"/>
  <c r="Y12" i="44" s="1"/>
  <c r="Z12" i="44" s="1"/>
  <c r="AA12" i="44" s="1"/>
  <c r="W13" i="44"/>
  <c r="X13" i="44" s="1"/>
  <c r="Y13" i="44" s="1"/>
  <c r="Z13" i="44" s="1"/>
  <c r="AA13" i="44" s="1"/>
  <c r="W14" i="44"/>
  <c r="X14" i="44" s="1"/>
  <c r="Y14" i="44" s="1"/>
  <c r="Z14" i="44" s="1"/>
  <c r="AA14" i="44" s="1"/>
  <c r="W15" i="44"/>
  <c r="X15" i="44" s="1"/>
  <c r="Y15" i="44" s="1"/>
  <c r="Z15" i="44" s="1"/>
  <c r="AA15" i="44" s="1"/>
  <c r="W16" i="44"/>
  <c r="X16" i="44" s="1"/>
  <c r="Y16" i="44" s="1"/>
  <c r="Z16" i="44" s="1"/>
  <c r="AA16" i="44" s="1"/>
  <c r="W17" i="44"/>
  <c r="X17" i="44" s="1"/>
  <c r="Y17" i="44" s="1"/>
  <c r="Z17" i="44" s="1"/>
  <c r="AA17" i="44" s="1"/>
  <c r="W18" i="44"/>
  <c r="X18" i="44" s="1"/>
  <c r="Y18" i="44" s="1"/>
  <c r="Z18" i="44" s="1"/>
  <c r="AA18" i="44" s="1"/>
  <c r="W19" i="44"/>
  <c r="X19" i="44" s="1"/>
  <c r="Y19" i="44" s="1"/>
  <c r="Z19" i="44" s="1"/>
  <c r="AA19" i="44" s="1"/>
  <c r="W20" i="44"/>
  <c r="X20" i="44" s="1"/>
  <c r="Y20" i="44" s="1"/>
  <c r="Z20" i="44" s="1"/>
  <c r="AA20" i="44" s="1"/>
  <c r="W21" i="44"/>
  <c r="X21" i="44" s="1"/>
  <c r="Y21" i="44" s="1"/>
  <c r="Z21" i="44" s="1"/>
  <c r="AA21" i="44" s="1"/>
  <c r="W22" i="44"/>
  <c r="X22" i="44" s="1"/>
  <c r="Y22" i="44" s="1"/>
  <c r="Z22" i="44" s="1"/>
  <c r="AA22" i="44" s="1"/>
  <c r="W23" i="44"/>
  <c r="X23" i="44" s="1"/>
  <c r="Y23" i="44" s="1"/>
  <c r="Z23" i="44" s="1"/>
  <c r="AA23" i="44" s="1"/>
  <c r="W24" i="44"/>
  <c r="X24" i="44" s="1"/>
  <c r="Y24" i="44" s="1"/>
  <c r="Z24" i="44" s="1"/>
  <c r="AA24" i="44" s="1"/>
  <c r="W25" i="44"/>
  <c r="X25" i="44" s="1"/>
  <c r="Y25" i="44" s="1"/>
  <c r="Z25" i="44" s="1"/>
  <c r="AA25" i="44" s="1"/>
  <c r="W26" i="44"/>
  <c r="X26" i="44" s="1"/>
  <c r="Y26" i="44" s="1"/>
  <c r="Z26" i="44" s="1"/>
  <c r="AA26" i="44" s="1"/>
  <c r="W27" i="44"/>
  <c r="X27" i="44" s="1"/>
  <c r="Y27" i="44" s="1"/>
  <c r="Z27" i="44" s="1"/>
  <c r="AA27" i="44" s="1"/>
  <c r="W28" i="44"/>
  <c r="W29" i="44"/>
  <c r="X29" i="44" s="1"/>
  <c r="Y29" i="44" s="1"/>
  <c r="Z29" i="44" s="1"/>
  <c r="AA29" i="44" s="1"/>
  <c r="W30" i="44"/>
  <c r="W31" i="44"/>
  <c r="X31" i="44" s="1"/>
  <c r="Y31" i="44" s="1"/>
  <c r="Z31" i="44" s="1"/>
  <c r="AA31" i="44" s="1"/>
  <c r="W32" i="44"/>
  <c r="X32" i="44" s="1"/>
  <c r="Y32" i="44" s="1"/>
  <c r="Z32" i="44" s="1"/>
  <c r="AA32" i="44" s="1"/>
  <c r="W33" i="44"/>
  <c r="X33" i="44" s="1"/>
  <c r="Y33" i="44" s="1"/>
  <c r="Z33" i="44" s="1"/>
  <c r="AA33" i="44" s="1"/>
  <c r="W34" i="44"/>
  <c r="X34" i="44" s="1"/>
  <c r="Y34" i="44" s="1"/>
  <c r="Z34" i="44" s="1"/>
  <c r="AA34" i="44" s="1"/>
  <c r="W11" i="44"/>
  <c r="X80" i="3"/>
  <c r="BD15" i="11"/>
  <c r="W35" i="44" l="1"/>
  <c r="X11" i="44"/>
  <c r="Y11" i="44" s="1"/>
  <c r="Z11" i="44" s="1"/>
  <c r="AA11" i="44" s="1"/>
  <c r="C4" i="53"/>
  <c r="Z43" i="53"/>
  <c r="Y43" i="53"/>
  <c r="X43" i="53"/>
  <c r="W43" i="53"/>
  <c r="V43" i="53"/>
  <c r="U43" i="53"/>
  <c r="T43" i="53"/>
  <c r="S43" i="53"/>
  <c r="R43" i="53"/>
  <c r="Q43" i="53"/>
  <c r="P43" i="53"/>
  <c r="O43" i="53"/>
  <c r="N43" i="53"/>
  <c r="M43" i="53"/>
  <c r="L43" i="53"/>
  <c r="I43" i="53"/>
  <c r="J41" i="53" s="1"/>
  <c r="J42" i="53"/>
  <c r="G42" i="53"/>
  <c r="E42" i="53"/>
  <c r="C42" i="53"/>
  <c r="G41" i="53"/>
  <c r="E41" i="53"/>
  <c r="C41" i="53"/>
  <c r="J40" i="53"/>
  <c r="G40" i="53"/>
  <c r="E40" i="53"/>
  <c r="C40" i="53"/>
  <c r="G39" i="53"/>
  <c r="E39" i="53"/>
  <c r="C39" i="53"/>
  <c r="J38" i="53"/>
  <c r="G38" i="53"/>
  <c r="E38" i="53"/>
  <c r="C38" i="53"/>
  <c r="G37" i="53"/>
  <c r="E37" i="53"/>
  <c r="C37" i="53"/>
  <c r="Z34" i="53"/>
  <c r="Y34" i="53"/>
  <c r="X34" i="53"/>
  <c r="W34" i="53"/>
  <c r="V34" i="53"/>
  <c r="U34" i="53"/>
  <c r="T34" i="53"/>
  <c r="S34" i="53"/>
  <c r="R34" i="53"/>
  <c r="Q34" i="53"/>
  <c r="P34" i="53"/>
  <c r="O34" i="53"/>
  <c r="N34" i="53"/>
  <c r="M34" i="53"/>
  <c r="L34" i="53"/>
  <c r="I34" i="53"/>
  <c r="J33" i="53" s="1"/>
  <c r="G34" i="53"/>
  <c r="H33" i="53" s="1"/>
  <c r="E34" i="53"/>
  <c r="F33" i="53" s="1"/>
  <c r="C34" i="53"/>
  <c r="D33" i="53" s="1"/>
  <c r="J32" i="53"/>
  <c r="H32" i="53"/>
  <c r="F32" i="53"/>
  <c r="D32" i="53"/>
  <c r="K32" i="53" s="1"/>
  <c r="N33" i="23" s="1"/>
  <c r="Z28" i="53"/>
  <c r="Y28" i="53"/>
  <c r="X28" i="53"/>
  <c r="W28" i="53"/>
  <c r="V28" i="53"/>
  <c r="U28" i="53"/>
  <c r="T28" i="53"/>
  <c r="S28" i="53"/>
  <c r="R28" i="53"/>
  <c r="Q28" i="53"/>
  <c r="P28" i="53"/>
  <c r="O28" i="53"/>
  <c r="N28" i="53"/>
  <c r="M28" i="53"/>
  <c r="L28" i="53"/>
  <c r="I28" i="53"/>
  <c r="J26" i="53" s="1"/>
  <c r="J27" i="53"/>
  <c r="G27" i="53"/>
  <c r="E27" i="53"/>
  <c r="C27" i="53"/>
  <c r="G26" i="53"/>
  <c r="E26" i="53"/>
  <c r="C26" i="53"/>
  <c r="J25" i="53"/>
  <c r="G25" i="53"/>
  <c r="E25" i="53"/>
  <c r="C25" i="53"/>
  <c r="J24" i="53"/>
  <c r="G24" i="53"/>
  <c r="E24" i="53"/>
  <c r="C24" i="53"/>
  <c r="J23" i="53"/>
  <c r="G23" i="53"/>
  <c r="E23" i="53"/>
  <c r="C23" i="53"/>
  <c r="J22" i="53"/>
  <c r="G22" i="53"/>
  <c r="E22" i="53"/>
  <c r="C22" i="53"/>
  <c r="Z19" i="53"/>
  <c r="Y19" i="53"/>
  <c r="X19" i="53"/>
  <c r="W19" i="53"/>
  <c r="V19" i="53"/>
  <c r="U19" i="53"/>
  <c r="T19" i="53"/>
  <c r="S19" i="53"/>
  <c r="R19" i="53"/>
  <c r="Q19" i="53"/>
  <c r="P19" i="53"/>
  <c r="O19" i="53"/>
  <c r="N19" i="53"/>
  <c r="M19" i="53"/>
  <c r="L19" i="53"/>
  <c r="I19" i="53"/>
  <c r="J18" i="53"/>
  <c r="G18" i="53"/>
  <c r="E18" i="53"/>
  <c r="C18" i="53"/>
  <c r="J17" i="53"/>
  <c r="G17" i="53"/>
  <c r="E17" i="53"/>
  <c r="C17" i="53"/>
  <c r="J16" i="53"/>
  <c r="G16" i="53"/>
  <c r="E16" i="53"/>
  <c r="C16" i="53"/>
  <c r="J15" i="53"/>
  <c r="G15" i="53"/>
  <c r="E15" i="53"/>
  <c r="C15" i="53"/>
  <c r="J14" i="53"/>
  <c r="G14" i="53"/>
  <c r="E14" i="53"/>
  <c r="C14" i="53"/>
  <c r="J13" i="53"/>
  <c r="G13" i="53"/>
  <c r="E13" i="53"/>
  <c r="C13" i="53"/>
  <c r="Z10" i="53"/>
  <c r="Y10" i="53"/>
  <c r="X10" i="53"/>
  <c r="W10" i="53"/>
  <c r="V10" i="53"/>
  <c r="U10" i="53"/>
  <c r="T10" i="53"/>
  <c r="S10" i="53"/>
  <c r="R10" i="53"/>
  <c r="Q10" i="53"/>
  <c r="P10" i="53"/>
  <c r="O10" i="53"/>
  <c r="N10" i="53"/>
  <c r="M10" i="53"/>
  <c r="L10" i="53"/>
  <c r="I10" i="53"/>
  <c r="J9" i="53"/>
  <c r="G9" i="53"/>
  <c r="E9" i="53"/>
  <c r="C9" i="53"/>
  <c r="J8" i="53"/>
  <c r="G8" i="53"/>
  <c r="E8" i="53"/>
  <c r="C8" i="53"/>
  <c r="J7" i="53"/>
  <c r="G7" i="53"/>
  <c r="E7" i="53"/>
  <c r="C7" i="53"/>
  <c r="J6" i="53"/>
  <c r="G6" i="53"/>
  <c r="E6" i="53"/>
  <c r="C6" i="53"/>
  <c r="J5" i="53"/>
  <c r="G5" i="53"/>
  <c r="E5" i="53"/>
  <c r="C5" i="53"/>
  <c r="J4" i="53"/>
  <c r="G4" i="53"/>
  <c r="E4" i="53"/>
  <c r="K33" i="53" l="1"/>
  <c r="N34" i="23" s="1"/>
  <c r="D31" i="53"/>
  <c r="D34" i="53" s="1"/>
  <c r="E43" i="53"/>
  <c r="F31" i="53"/>
  <c r="F34" i="53" s="1"/>
  <c r="G19" i="53"/>
  <c r="H18" i="53" s="1"/>
  <c r="H31" i="53"/>
  <c r="H34" i="53" s="1"/>
  <c r="J37" i="53"/>
  <c r="J39" i="53"/>
  <c r="E19" i="53"/>
  <c r="J10" i="53"/>
  <c r="J19" i="53"/>
  <c r="J28" i="53"/>
  <c r="J31" i="53"/>
  <c r="J34" i="53" s="1"/>
  <c r="F38" i="53"/>
  <c r="F39" i="53"/>
  <c r="F40" i="53"/>
  <c r="F41" i="53"/>
  <c r="F42" i="53"/>
  <c r="F6" i="53"/>
  <c r="F9" i="53"/>
  <c r="F18" i="53"/>
  <c r="F17" i="53"/>
  <c r="F14" i="53"/>
  <c r="F15" i="53"/>
  <c r="F16" i="53"/>
  <c r="H4" i="53"/>
  <c r="H5" i="53"/>
  <c r="H8" i="53"/>
  <c r="H9" i="53"/>
  <c r="H15" i="53"/>
  <c r="H14" i="53"/>
  <c r="H13" i="53"/>
  <c r="H22" i="53"/>
  <c r="H26" i="53"/>
  <c r="E10" i="53"/>
  <c r="F7" i="53" s="1"/>
  <c r="F13" i="53"/>
  <c r="C28" i="53"/>
  <c r="D24" i="53" s="1"/>
  <c r="G28" i="53"/>
  <c r="H23" i="53" s="1"/>
  <c r="F37" i="53"/>
  <c r="C19" i="53"/>
  <c r="C43" i="53"/>
  <c r="D39" i="53" s="1"/>
  <c r="G43" i="53"/>
  <c r="H38" i="53" s="1"/>
  <c r="C10" i="53"/>
  <c r="D9" i="53" s="1"/>
  <c r="G10" i="53"/>
  <c r="H6" i="53" s="1"/>
  <c r="E28" i="53"/>
  <c r="F25" i="53" s="1"/>
  <c r="H16" i="53" l="1"/>
  <c r="H37" i="53"/>
  <c r="F5" i="53"/>
  <c r="K31" i="53"/>
  <c r="N32" i="23" s="1"/>
  <c r="H17" i="53"/>
  <c r="J43" i="53"/>
  <c r="H41" i="53"/>
  <c r="K9" i="53"/>
  <c r="N11" i="23" s="1"/>
  <c r="D8" i="53"/>
  <c r="F24" i="53"/>
  <c r="D42" i="53"/>
  <c r="D27" i="53"/>
  <c r="D23" i="53"/>
  <c r="D18" i="53"/>
  <c r="K18" i="53" s="1"/>
  <c r="N17" i="23" s="1"/>
  <c r="D17" i="53"/>
  <c r="K17" i="53" s="1"/>
  <c r="N16" i="23" s="1"/>
  <c r="D16" i="53"/>
  <c r="K16" i="53" s="1"/>
  <c r="N15" i="23" s="1"/>
  <c r="D15" i="53"/>
  <c r="K15" i="53" s="1"/>
  <c r="D14" i="53"/>
  <c r="K14" i="53" s="1"/>
  <c r="F19" i="53"/>
  <c r="H25" i="53"/>
  <c r="H19" i="53"/>
  <c r="H7" i="53"/>
  <c r="H10" i="53" s="1"/>
  <c r="D4" i="53"/>
  <c r="K4" i="53" s="1"/>
  <c r="N6" i="23" s="1"/>
  <c r="H40" i="53"/>
  <c r="F27" i="53"/>
  <c r="F23" i="53"/>
  <c r="F8" i="53"/>
  <c r="K8" i="53" s="1"/>
  <c r="N10" i="23" s="1"/>
  <c r="F4" i="53"/>
  <c r="F10" i="53" s="1"/>
  <c r="D40" i="53"/>
  <c r="D26" i="53"/>
  <c r="K26" i="53" s="1"/>
  <c r="N25" i="23" s="1"/>
  <c r="D22" i="53"/>
  <c r="D6" i="53"/>
  <c r="K6" i="53" s="1"/>
  <c r="N8" i="23" s="1"/>
  <c r="F43" i="53"/>
  <c r="H24" i="53"/>
  <c r="D38" i="53"/>
  <c r="K38" i="53" s="1"/>
  <c r="H39" i="53"/>
  <c r="K39" i="53" s="1"/>
  <c r="F26" i="53"/>
  <c r="F22" i="53"/>
  <c r="F28" i="53" s="1"/>
  <c r="D7" i="53"/>
  <c r="K7" i="53" s="1"/>
  <c r="N9" i="23" s="1"/>
  <c r="D37" i="53"/>
  <c r="D25" i="53"/>
  <c r="D13" i="53"/>
  <c r="D41" i="53"/>
  <c r="H28" i="53"/>
  <c r="H27" i="53"/>
  <c r="H42" i="53"/>
  <c r="D5" i="53"/>
  <c r="K5" i="53" s="1"/>
  <c r="N7" i="23" s="1"/>
  <c r="K41" i="53" l="1"/>
  <c r="K24" i="53"/>
  <c r="K25" i="53"/>
  <c r="N24" i="23" s="1"/>
  <c r="D43" i="53"/>
  <c r="K37" i="53"/>
  <c r="K23" i="53"/>
  <c r="H43" i="53"/>
  <c r="K22" i="53"/>
  <c r="N23" i="23" s="1"/>
  <c r="D28" i="53"/>
  <c r="D10" i="53"/>
  <c r="K27" i="53"/>
  <c r="N26" i="23" s="1"/>
  <c r="D19" i="53"/>
  <c r="K13" i="53"/>
  <c r="N14" i="23" s="1"/>
  <c r="K42" i="53"/>
  <c r="K40" i="53"/>
  <c r="F42" i="12" l="1"/>
  <c r="F41" i="12"/>
  <c r="F33" i="12"/>
  <c r="F24" i="12"/>
  <c r="F17" i="12"/>
  <c r="P426" i="48"/>
  <c r="O426" i="48"/>
  <c r="N426" i="48"/>
  <c r="M426" i="48"/>
  <c r="L426" i="48"/>
  <c r="K426" i="48"/>
  <c r="J426" i="48"/>
  <c r="I426" i="48"/>
  <c r="H426" i="48"/>
  <c r="G426" i="48"/>
  <c r="F426" i="48"/>
  <c r="E426" i="48"/>
  <c r="D426" i="48"/>
  <c r="C426" i="48"/>
  <c r="Q425" i="48"/>
  <c r="Q424" i="48"/>
  <c r="Q423" i="48"/>
  <c r="Q422" i="48"/>
  <c r="Q421" i="48"/>
  <c r="Q420" i="48"/>
  <c r="Q419" i="48"/>
  <c r="Q418" i="48"/>
  <c r="Q417" i="48"/>
  <c r="Q416" i="48"/>
  <c r="Q415" i="48"/>
  <c r="Q414" i="48"/>
  <c r="P411" i="48"/>
  <c r="O411" i="48"/>
  <c r="N411" i="48"/>
  <c r="M411" i="48"/>
  <c r="L411" i="48"/>
  <c r="K411" i="48"/>
  <c r="J411" i="48"/>
  <c r="I411" i="48"/>
  <c r="H411" i="48"/>
  <c r="G411" i="48"/>
  <c r="F411" i="48"/>
  <c r="E411" i="48"/>
  <c r="D411" i="48"/>
  <c r="C411" i="48"/>
  <c r="Q410" i="48"/>
  <c r="Q409" i="48"/>
  <c r="Q408" i="48"/>
  <c r="Q407" i="48"/>
  <c r="Q406" i="48"/>
  <c r="Q405" i="48"/>
  <c r="Q404" i="48"/>
  <c r="Q403" i="48"/>
  <c r="Q402" i="48"/>
  <c r="Q401" i="48"/>
  <c r="Q400" i="48"/>
  <c r="Q399" i="48"/>
  <c r="P396" i="48"/>
  <c r="O396" i="48"/>
  <c r="N396" i="48"/>
  <c r="M396" i="48"/>
  <c r="L396" i="48"/>
  <c r="K396" i="48"/>
  <c r="J396" i="48"/>
  <c r="I396" i="48"/>
  <c r="H396" i="48"/>
  <c r="G396" i="48"/>
  <c r="F396" i="48"/>
  <c r="E396" i="48"/>
  <c r="D396" i="48"/>
  <c r="C396" i="48"/>
  <c r="Q395" i="48"/>
  <c r="Q394" i="48"/>
  <c r="Q393" i="48"/>
  <c r="Q392" i="48"/>
  <c r="Q391" i="48"/>
  <c r="Q390" i="48"/>
  <c r="Q389" i="48"/>
  <c r="Q388" i="48"/>
  <c r="Q387" i="48"/>
  <c r="Q386" i="48"/>
  <c r="Q385" i="48"/>
  <c r="Q384" i="48"/>
  <c r="P381" i="48"/>
  <c r="O381" i="48"/>
  <c r="N381" i="48"/>
  <c r="M381" i="48"/>
  <c r="M427" i="48" s="1"/>
  <c r="K15" i="48" s="1"/>
  <c r="L381" i="48"/>
  <c r="K381" i="48"/>
  <c r="J381" i="48"/>
  <c r="I381" i="48"/>
  <c r="H381" i="48"/>
  <c r="G381" i="48"/>
  <c r="F381" i="48"/>
  <c r="E381" i="48"/>
  <c r="E427" i="48" s="1"/>
  <c r="K7" i="48" s="1"/>
  <c r="D381" i="48"/>
  <c r="C381" i="48"/>
  <c r="Q380" i="48"/>
  <c r="Q379" i="48"/>
  <c r="Q378" i="48"/>
  <c r="Q377" i="48"/>
  <c r="Q376" i="48"/>
  <c r="Q375" i="48"/>
  <c r="Q374" i="48"/>
  <c r="Q373" i="48"/>
  <c r="Q372" i="48"/>
  <c r="Q371" i="48"/>
  <c r="Q370" i="48"/>
  <c r="Q369" i="48"/>
  <c r="P365" i="48"/>
  <c r="O365" i="48"/>
  <c r="N365" i="48"/>
  <c r="M365" i="48"/>
  <c r="L365" i="48"/>
  <c r="K365" i="48"/>
  <c r="J365" i="48"/>
  <c r="I365" i="48"/>
  <c r="H365" i="48"/>
  <c r="G365" i="48"/>
  <c r="F365" i="48"/>
  <c r="E365" i="48"/>
  <c r="D365" i="48"/>
  <c r="C365" i="48"/>
  <c r="Q364" i="48"/>
  <c r="Q363" i="48"/>
  <c r="Q362" i="48"/>
  <c r="Q361" i="48"/>
  <c r="Q360" i="48"/>
  <c r="Q359" i="48"/>
  <c r="Q358" i="48"/>
  <c r="Q357" i="48"/>
  <c r="Q356" i="48"/>
  <c r="Q355" i="48"/>
  <c r="Q354" i="48"/>
  <c r="Q353" i="48"/>
  <c r="P350" i="48"/>
  <c r="O350" i="48"/>
  <c r="N350" i="48"/>
  <c r="M350" i="48"/>
  <c r="L350" i="48"/>
  <c r="K350" i="48"/>
  <c r="J350" i="48"/>
  <c r="I350" i="48"/>
  <c r="H350" i="48"/>
  <c r="G350" i="48"/>
  <c r="F350" i="48"/>
  <c r="E350" i="48"/>
  <c r="D350" i="48"/>
  <c r="C350" i="48"/>
  <c r="Q349" i="48"/>
  <c r="Q348" i="48"/>
  <c r="Q347" i="48"/>
  <c r="Q346" i="48"/>
  <c r="Q345" i="48"/>
  <c r="Q344" i="48"/>
  <c r="Q343" i="48"/>
  <c r="Q342" i="48"/>
  <c r="Q341" i="48"/>
  <c r="Q340" i="48"/>
  <c r="Q339" i="48"/>
  <c r="Q338" i="48"/>
  <c r="P335" i="48"/>
  <c r="O335" i="48"/>
  <c r="N335" i="48"/>
  <c r="M335" i="48"/>
  <c r="L335" i="48"/>
  <c r="K335" i="48"/>
  <c r="J335" i="48"/>
  <c r="I335" i="48"/>
  <c r="H335" i="48"/>
  <c r="G335" i="48"/>
  <c r="F335" i="48"/>
  <c r="E335" i="48"/>
  <c r="D335" i="48"/>
  <c r="C335" i="48"/>
  <c r="Q334" i="48"/>
  <c r="Q333" i="48"/>
  <c r="Q332" i="48"/>
  <c r="Q331" i="48"/>
  <c r="Q330" i="48"/>
  <c r="Q329" i="48"/>
  <c r="Q328" i="48"/>
  <c r="Q327" i="48"/>
  <c r="Q326" i="48"/>
  <c r="Q325" i="48"/>
  <c r="Q324" i="48"/>
  <c r="Q323" i="48"/>
  <c r="P320" i="48"/>
  <c r="O320" i="48"/>
  <c r="N320" i="48"/>
  <c r="M320" i="48"/>
  <c r="M366" i="48" s="1"/>
  <c r="I15" i="48" s="1"/>
  <c r="L320" i="48"/>
  <c r="K320" i="48"/>
  <c r="J320" i="48"/>
  <c r="I320" i="48"/>
  <c r="H320" i="48"/>
  <c r="G320" i="48"/>
  <c r="F320" i="48"/>
  <c r="E320" i="48"/>
  <c r="E366" i="48" s="1"/>
  <c r="I7" i="48" s="1"/>
  <c r="D320" i="48"/>
  <c r="C320" i="48"/>
  <c r="Q319" i="48"/>
  <c r="Q318" i="48"/>
  <c r="Q317" i="48"/>
  <c r="Q316" i="48"/>
  <c r="Q315" i="48"/>
  <c r="Q314" i="48"/>
  <c r="Q313" i="48"/>
  <c r="Q312" i="48"/>
  <c r="Q311" i="48"/>
  <c r="Q310" i="48"/>
  <c r="Q309" i="48"/>
  <c r="Q308" i="48"/>
  <c r="P304" i="48"/>
  <c r="O304" i="48"/>
  <c r="N304" i="48"/>
  <c r="M304" i="48"/>
  <c r="L304" i="48"/>
  <c r="K304" i="48"/>
  <c r="J304" i="48"/>
  <c r="I304" i="48"/>
  <c r="H304" i="48"/>
  <c r="G304" i="48"/>
  <c r="F304" i="48"/>
  <c r="E304" i="48"/>
  <c r="D304" i="48"/>
  <c r="C304" i="48"/>
  <c r="Q303" i="48"/>
  <c r="Q302" i="48"/>
  <c r="Q301" i="48"/>
  <c r="Q300" i="48"/>
  <c r="Q299" i="48"/>
  <c r="Q298" i="48"/>
  <c r="Q297" i="48"/>
  <c r="Q296" i="48"/>
  <c r="Q295" i="48"/>
  <c r="Q294" i="48"/>
  <c r="Q293" i="48"/>
  <c r="P289" i="48"/>
  <c r="O289" i="48"/>
  <c r="N289" i="48"/>
  <c r="M289" i="48"/>
  <c r="L289" i="48"/>
  <c r="K289" i="48"/>
  <c r="J289" i="48"/>
  <c r="I289" i="48"/>
  <c r="H289" i="48"/>
  <c r="G289" i="48"/>
  <c r="F289" i="48"/>
  <c r="E289" i="48"/>
  <c r="D289" i="48"/>
  <c r="C289" i="48"/>
  <c r="Q288" i="48"/>
  <c r="Q287" i="48"/>
  <c r="Q286" i="48"/>
  <c r="Q285" i="48"/>
  <c r="Q284" i="48"/>
  <c r="Q283" i="48"/>
  <c r="Q282" i="48"/>
  <c r="Q281" i="48"/>
  <c r="Q280" i="48"/>
  <c r="Q279" i="48"/>
  <c r="Q278" i="48"/>
  <c r="P274" i="48"/>
  <c r="O274" i="48"/>
  <c r="N274" i="48"/>
  <c r="M274" i="48"/>
  <c r="M305" i="48" s="1"/>
  <c r="O15" i="48" s="1"/>
  <c r="L274" i="48"/>
  <c r="K274" i="48"/>
  <c r="J274" i="48"/>
  <c r="I274" i="48"/>
  <c r="I305" i="48" s="1"/>
  <c r="O11" i="48" s="1"/>
  <c r="H274" i="48"/>
  <c r="G274" i="48"/>
  <c r="F274" i="48"/>
  <c r="E274" i="48"/>
  <c r="E305" i="48" s="1"/>
  <c r="O7" i="48" s="1"/>
  <c r="D274" i="48"/>
  <c r="C274" i="48"/>
  <c r="Q273" i="48"/>
  <c r="Q272" i="48"/>
  <c r="Q271" i="48"/>
  <c r="Q270" i="48"/>
  <c r="Q269" i="48"/>
  <c r="Q268" i="48"/>
  <c r="Q267" i="48"/>
  <c r="Q266" i="48"/>
  <c r="Q265" i="48"/>
  <c r="Q264" i="48"/>
  <c r="Q263" i="48"/>
  <c r="Q262" i="48"/>
  <c r="P258" i="48"/>
  <c r="O258" i="48"/>
  <c r="N258" i="48"/>
  <c r="M258" i="48"/>
  <c r="L258" i="48"/>
  <c r="K258" i="48"/>
  <c r="J258" i="48"/>
  <c r="I258" i="48"/>
  <c r="H258" i="48"/>
  <c r="G258" i="48"/>
  <c r="F258" i="48"/>
  <c r="E258" i="48"/>
  <c r="D258" i="48"/>
  <c r="C258" i="48"/>
  <c r="Q257" i="48"/>
  <c r="Q256" i="48"/>
  <c r="Q255" i="48"/>
  <c r="Q254" i="48"/>
  <c r="Q253" i="48"/>
  <c r="Q252" i="48"/>
  <c r="Q251" i="48"/>
  <c r="Q250" i="48"/>
  <c r="Q249" i="48"/>
  <c r="Q248" i="48"/>
  <c r="Q247" i="48"/>
  <c r="Q246" i="48"/>
  <c r="P243" i="48"/>
  <c r="O243" i="48"/>
  <c r="N243" i="48"/>
  <c r="M243" i="48"/>
  <c r="L243" i="48"/>
  <c r="K243" i="48"/>
  <c r="J243" i="48"/>
  <c r="I243" i="48"/>
  <c r="H243" i="48"/>
  <c r="G243" i="48"/>
  <c r="F243" i="48"/>
  <c r="E243" i="48"/>
  <c r="D243" i="48"/>
  <c r="C243" i="48"/>
  <c r="Q242" i="48"/>
  <c r="Q241" i="48"/>
  <c r="Q240" i="48"/>
  <c r="Q239" i="48"/>
  <c r="Q238" i="48"/>
  <c r="Q237" i="48"/>
  <c r="Q236" i="48"/>
  <c r="Q235" i="48"/>
  <c r="Q234" i="48"/>
  <c r="Q233" i="48"/>
  <c r="Q232" i="48"/>
  <c r="Q231" i="48"/>
  <c r="P228" i="48"/>
  <c r="O228" i="48"/>
  <c r="N228" i="48"/>
  <c r="M228" i="48"/>
  <c r="L228" i="48"/>
  <c r="K228" i="48"/>
  <c r="J228" i="48"/>
  <c r="I228" i="48"/>
  <c r="H228" i="48"/>
  <c r="G228" i="48"/>
  <c r="G259" i="48" s="1"/>
  <c r="M9" i="48" s="1"/>
  <c r="F228" i="48"/>
  <c r="E228" i="48"/>
  <c r="D228" i="48"/>
  <c r="C228" i="48"/>
  <c r="Q227" i="48"/>
  <c r="Q226" i="48"/>
  <c r="Q225" i="48"/>
  <c r="Q224" i="48"/>
  <c r="Q223" i="48"/>
  <c r="Q222" i="48"/>
  <c r="Q221" i="48"/>
  <c r="Q220" i="48"/>
  <c r="Q219" i="48"/>
  <c r="Q218" i="48"/>
  <c r="Q217" i="48"/>
  <c r="Q216" i="48"/>
  <c r="P212" i="48"/>
  <c r="O212" i="48"/>
  <c r="N212" i="48"/>
  <c r="M212" i="48"/>
  <c r="L212" i="48"/>
  <c r="K212" i="48"/>
  <c r="J212" i="48"/>
  <c r="I212" i="48"/>
  <c r="H212" i="48"/>
  <c r="G212" i="48"/>
  <c r="F212" i="48"/>
  <c r="E212" i="48"/>
  <c r="D212" i="48"/>
  <c r="C212" i="48"/>
  <c r="Q211" i="48"/>
  <c r="Q210" i="48"/>
  <c r="Q209" i="48"/>
  <c r="Q208" i="48"/>
  <c r="Q207" i="48"/>
  <c r="Q206" i="48"/>
  <c r="Q205" i="48"/>
  <c r="Q204" i="48"/>
  <c r="Q203" i="48"/>
  <c r="Q202" i="48"/>
  <c r="Q201" i="48"/>
  <c r="Q200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Q196" i="48"/>
  <c r="Q195" i="48"/>
  <c r="Q194" i="48"/>
  <c r="Q193" i="48"/>
  <c r="Q192" i="48"/>
  <c r="Q191" i="48"/>
  <c r="Q190" i="48"/>
  <c r="Q189" i="48"/>
  <c r="Q188" i="48"/>
  <c r="Q187" i="48"/>
  <c r="Q186" i="48"/>
  <c r="Q185" i="48"/>
  <c r="P182" i="48"/>
  <c r="O182" i="48"/>
  <c r="N182" i="48"/>
  <c r="M182" i="48"/>
  <c r="L182" i="48"/>
  <c r="K182" i="48"/>
  <c r="J182" i="48"/>
  <c r="I182" i="48"/>
  <c r="H182" i="48"/>
  <c r="G182" i="48"/>
  <c r="F182" i="48"/>
  <c r="E182" i="48"/>
  <c r="D182" i="48"/>
  <c r="C182" i="48"/>
  <c r="Q181" i="48"/>
  <c r="Q180" i="48"/>
  <c r="Q179" i="48"/>
  <c r="Q178" i="48"/>
  <c r="Q177" i="48"/>
  <c r="Q176" i="48"/>
  <c r="Q175" i="48"/>
  <c r="Q174" i="48"/>
  <c r="Q173" i="48"/>
  <c r="Q172" i="48"/>
  <c r="Q171" i="48"/>
  <c r="Q170" i="48"/>
  <c r="P167" i="48"/>
  <c r="O167" i="48"/>
  <c r="N167" i="48"/>
  <c r="M167" i="48"/>
  <c r="L167" i="48"/>
  <c r="K167" i="48"/>
  <c r="J167" i="48"/>
  <c r="I167" i="48"/>
  <c r="H167" i="48"/>
  <c r="G167" i="48"/>
  <c r="F167" i="48"/>
  <c r="E167" i="48"/>
  <c r="D167" i="48"/>
  <c r="C167" i="48"/>
  <c r="Q166" i="48"/>
  <c r="Q165" i="48"/>
  <c r="Q164" i="48"/>
  <c r="Q163" i="48"/>
  <c r="Q162" i="48"/>
  <c r="Q161" i="48"/>
  <c r="Q160" i="48"/>
  <c r="Q159" i="48"/>
  <c r="Q158" i="48"/>
  <c r="Q157" i="48"/>
  <c r="Q156" i="48"/>
  <c r="Q155" i="48"/>
  <c r="P151" i="48"/>
  <c r="O151" i="48"/>
  <c r="N151" i="48"/>
  <c r="M151" i="48"/>
  <c r="L151" i="48"/>
  <c r="K151" i="48"/>
  <c r="J151" i="48"/>
  <c r="I151" i="48"/>
  <c r="H151" i="48"/>
  <c r="G151" i="48"/>
  <c r="F151" i="48"/>
  <c r="E151" i="48"/>
  <c r="D151" i="48"/>
  <c r="C151" i="48"/>
  <c r="Q150" i="48"/>
  <c r="Q149" i="48"/>
  <c r="Q148" i="48"/>
  <c r="Q147" i="48"/>
  <c r="Q146" i="48"/>
  <c r="Q145" i="48"/>
  <c r="Q144" i="48"/>
  <c r="Q143" i="48"/>
  <c r="Q142" i="48"/>
  <c r="Q141" i="48"/>
  <c r="Q140" i="48"/>
  <c r="Q139" i="48"/>
  <c r="P136" i="48"/>
  <c r="O136" i="48"/>
  <c r="N136" i="48"/>
  <c r="M136" i="48"/>
  <c r="L136" i="48"/>
  <c r="K136" i="48"/>
  <c r="J136" i="48"/>
  <c r="I136" i="48"/>
  <c r="H136" i="48"/>
  <c r="G136" i="48"/>
  <c r="F136" i="48"/>
  <c r="E136" i="48"/>
  <c r="D136" i="48"/>
  <c r="C136" i="48"/>
  <c r="Q135" i="48"/>
  <c r="Q134" i="48"/>
  <c r="Q133" i="48"/>
  <c r="Q132" i="48"/>
  <c r="Q131" i="48"/>
  <c r="Q130" i="48"/>
  <c r="Q129" i="48"/>
  <c r="Q128" i="48"/>
  <c r="Q127" i="48"/>
  <c r="Q126" i="48"/>
  <c r="Q125" i="48"/>
  <c r="Q124" i="48"/>
  <c r="P121" i="48"/>
  <c r="O121" i="48"/>
  <c r="N121" i="48"/>
  <c r="M121" i="48"/>
  <c r="L121" i="48"/>
  <c r="K121" i="48"/>
  <c r="J121" i="48"/>
  <c r="I121" i="48"/>
  <c r="H121" i="48"/>
  <c r="G121" i="48"/>
  <c r="F121" i="48"/>
  <c r="E121" i="48"/>
  <c r="D121" i="48"/>
  <c r="C121" i="48"/>
  <c r="Q120" i="48"/>
  <c r="Q119" i="48"/>
  <c r="Q118" i="48"/>
  <c r="Q117" i="48"/>
  <c r="Q116" i="48"/>
  <c r="Q115" i="48"/>
  <c r="Q114" i="48"/>
  <c r="Q113" i="48"/>
  <c r="Q112" i="48"/>
  <c r="Q111" i="48"/>
  <c r="Q110" i="48"/>
  <c r="Q109" i="48"/>
  <c r="P106" i="48"/>
  <c r="O106" i="48"/>
  <c r="N106" i="48"/>
  <c r="M106" i="48"/>
  <c r="L106" i="48"/>
  <c r="K106" i="48"/>
  <c r="J106" i="48"/>
  <c r="I106" i="48"/>
  <c r="H106" i="48"/>
  <c r="G106" i="48"/>
  <c r="F106" i="48"/>
  <c r="E106" i="48"/>
  <c r="D106" i="48"/>
  <c r="C106" i="48"/>
  <c r="Q105" i="48"/>
  <c r="Q104" i="48"/>
  <c r="Q103" i="48"/>
  <c r="Q102" i="48"/>
  <c r="Q101" i="48"/>
  <c r="Q100" i="48"/>
  <c r="Q99" i="48"/>
  <c r="Q98" i="48"/>
  <c r="Q97" i="48"/>
  <c r="Q96" i="48"/>
  <c r="Q95" i="48"/>
  <c r="P90" i="48"/>
  <c r="O90" i="48"/>
  <c r="N90" i="48"/>
  <c r="M90" i="48"/>
  <c r="L90" i="48"/>
  <c r="K90" i="48"/>
  <c r="J90" i="48"/>
  <c r="I90" i="48"/>
  <c r="H90" i="48"/>
  <c r="G90" i="48"/>
  <c r="F90" i="48"/>
  <c r="E90" i="48"/>
  <c r="D90" i="48"/>
  <c r="C90" i="48"/>
  <c r="Q89" i="48"/>
  <c r="Q88" i="48"/>
  <c r="Q87" i="48"/>
  <c r="Q86" i="48"/>
  <c r="Q85" i="48"/>
  <c r="Q84" i="48"/>
  <c r="Q83" i="48"/>
  <c r="Q82" i="48"/>
  <c r="Q81" i="48"/>
  <c r="Q80" i="48"/>
  <c r="Q79" i="48"/>
  <c r="Q78" i="48"/>
  <c r="P75" i="48"/>
  <c r="O75" i="48"/>
  <c r="N75" i="48"/>
  <c r="M75" i="48"/>
  <c r="L75" i="48"/>
  <c r="K75" i="48"/>
  <c r="J75" i="48"/>
  <c r="I75" i="48"/>
  <c r="H75" i="48"/>
  <c r="G75" i="48"/>
  <c r="F75" i="48"/>
  <c r="E75" i="48"/>
  <c r="D75" i="48"/>
  <c r="C75" i="48"/>
  <c r="Q74" i="48"/>
  <c r="Q73" i="48"/>
  <c r="Q72" i="48"/>
  <c r="Q71" i="48"/>
  <c r="Q70" i="48"/>
  <c r="Q69" i="48"/>
  <c r="Q68" i="48"/>
  <c r="Q67" i="48"/>
  <c r="Q66" i="48"/>
  <c r="Q65" i="48"/>
  <c r="Q64" i="48"/>
  <c r="Q63" i="48"/>
  <c r="P60" i="48"/>
  <c r="O60" i="48"/>
  <c r="N60" i="48"/>
  <c r="M60" i="48"/>
  <c r="L60" i="48"/>
  <c r="K60" i="48"/>
  <c r="J60" i="48"/>
  <c r="I60" i="48"/>
  <c r="H60" i="48"/>
  <c r="G60" i="48"/>
  <c r="F60" i="48"/>
  <c r="E60" i="48"/>
  <c r="D60" i="48"/>
  <c r="C60" i="48"/>
  <c r="Q59" i="48"/>
  <c r="Q58" i="48"/>
  <c r="Q57" i="48"/>
  <c r="Q56" i="48"/>
  <c r="Q55" i="48"/>
  <c r="Q54" i="48"/>
  <c r="Q53" i="48"/>
  <c r="Q52" i="48"/>
  <c r="Q51" i="48"/>
  <c r="Q50" i="48"/>
  <c r="Q49" i="48"/>
  <c r="Q48" i="48"/>
  <c r="P45" i="48"/>
  <c r="O45" i="48"/>
  <c r="N45" i="48"/>
  <c r="M45" i="48"/>
  <c r="L45" i="48"/>
  <c r="K45" i="48"/>
  <c r="J45" i="48"/>
  <c r="I45" i="48"/>
  <c r="H45" i="48"/>
  <c r="G45" i="48"/>
  <c r="F45" i="48"/>
  <c r="E45" i="48"/>
  <c r="D45" i="48"/>
  <c r="C45" i="48"/>
  <c r="Q44" i="48"/>
  <c r="Q43" i="48"/>
  <c r="Q42" i="48"/>
  <c r="Q41" i="48"/>
  <c r="Q40" i="48"/>
  <c r="Q39" i="48"/>
  <c r="Q38" i="48"/>
  <c r="Q37" i="48"/>
  <c r="Q36" i="48"/>
  <c r="Q35" i="48"/>
  <c r="Q34" i="48"/>
  <c r="Q33" i="48"/>
  <c r="I91" i="48" l="1"/>
  <c r="C11" i="48" s="1"/>
  <c r="Q60" i="48"/>
  <c r="J152" i="48"/>
  <c r="E12" i="48" s="1"/>
  <c r="J259" i="48"/>
  <c r="M12" i="48" s="1"/>
  <c r="F366" i="48"/>
  <c r="I8" i="48" s="1"/>
  <c r="N366" i="48"/>
  <c r="I16" i="48" s="1"/>
  <c r="F427" i="48"/>
  <c r="K8" i="48" s="1"/>
  <c r="N427" i="48"/>
  <c r="K16" i="48" s="1"/>
  <c r="J91" i="48"/>
  <c r="C12" i="48" s="1"/>
  <c r="C152" i="48"/>
  <c r="E5" i="48" s="1"/>
  <c r="K152" i="48"/>
  <c r="E13" i="48" s="1"/>
  <c r="K213" i="48"/>
  <c r="G13" i="48" s="1"/>
  <c r="C259" i="48"/>
  <c r="M5" i="48" s="1"/>
  <c r="K259" i="48"/>
  <c r="M13" i="48" s="1"/>
  <c r="D305" i="48"/>
  <c r="O6" i="48" s="1"/>
  <c r="L305" i="48"/>
  <c r="O14" i="48" s="1"/>
  <c r="I366" i="48"/>
  <c r="I11" i="48" s="1"/>
  <c r="Q335" i="48"/>
  <c r="I427" i="48"/>
  <c r="K11" i="48" s="1"/>
  <c r="Q396" i="48"/>
  <c r="Q411" i="48"/>
  <c r="E91" i="48"/>
  <c r="C7" i="48" s="1"/>
  <c r="M91" i="48"/>
  <c r="C15" i="48" s="1"/>
  <c r="F152" i="48"/>
  <c r="E8" i="48" s="1"/>
  <c r="N152" i="48"/>
  <c r="E16" i="48" s="1"/>
  <c r="F259" i="48"/>
  <c r="M8" i="48" s="1"/>
  <c r="N259" i="48"/>
  <c r="M16" i="48" s="1"/>
  <c r="J366" i="48"/>
  <c r="I12" i="48" s="1"/>
  <c r="J427" i="48"/>
  <c r="K12" i="48" s="1"/>
  <c r="F91" i="48"/>
  <c r="C8" i="48" s="1"/>
  <c r="N91" i="48"/>
  <c r="C16" i="48" s="1"/>
  <c r="G152" i="48"/>
  <c r="E9" i="48" s="1"/>
  <c r="R7" i="48" s="1"/>
  <c r="O152" i="48"/>
  <c r="E17" i="48" s="1"/>
  <c r="G213" i="48"/>
  <c r="G9" i="48" s="1"/>
  <c r="O213" i="48"/>
  <c r="G17" i="48" s="1"/>
  <c r="O259" i="48"/>
  <c r="M17" i="48" s="1"/>
  <c r="H305" i="48"/>
  <c r="O10" i="48" s="1"/>
  <c r="P305" i="48"/>
  <c r="O18" i="48" s="1"/>
  <c r="I213" i="48"/>
  <c r="G11" i="48" s="1"/>
  <c r="Q228" i="48"/>
  <c r="Q243" i="48"/>
  <c r="Q258" i="48"/>
  <c r="D91" i="48"/>
  <c r="C6" i="48" s="1"/>
  <c r="H91" i="48"/>
  <c r="C10" i="48" s="1"/>
  <c r="L91" i="48"/>
  <c r="C14" i="48" s="1"/>
  <c r="P91" i="48"/>
  <c r="C18" i="48" s="1"/>
  <c r="Q106" i="48"/>
  <c r="E152" i="48"/>
  <c r="E7" i="48" s="1"/>
  <c r="I152" i="48"/>
  <c r="E11" i="48" s="1"/>
  <c r="M152" i="48"/>
  <c r="E15" i="48" s="1"/>
  <c r="Q121" i="48"/>
  <c r="Q151" i="48"/>
  <c r="Q182" i="48"/>
  <c r="Q197" i="48"/>
  <c r="Q212" i="48"/>
  <c r="E259" i="48"/>
  <c r="M7" i="48" s="1"/>
  <c r="S5" i="48" s="1"/>
  <c r="I259" i="48"/>
  <c r="M11" i="48" s="1"/>
  <c r="S9" i="48" s="1"/>
  <c r="M259" i="48"/>
  <c r="M15" i="48" s="1"/>
  <c r="S13" i="48" s="1"/>
  <c r="Q274" i="48"/>
  <c r="C305" i="48"/>
  <c r="O5" i="48" s="1"/>
  <c r="S3" i="48" s="1"/>
  <c r="G305" i="48"/>
  <c r="O9" i="48" s="1"/>
  <c r="S7" i="48" s="1"/>
  <c r="K305" i="48"/>
  <c r="O13" i="48" s="1"/>
  <c r="S11" i="48" s="1"/>
  <c r="O305" i="48"/>
  <c r="O17" i="48" s="1"/>
  <c r="S15" i="48" s="1"/>
  <c r="D366" i="48"/>
  <c r="I6" i="48" s="1"/>
  <c r="H366" i="48"/>
  <c r="I10" i="48" s="1"/>
  <c r="L366" i="48"/>
  <c r="I14" i="48" s="1"/>
  <c r="P366" i="48"/>
  <c r="I18" i="48" s="1"/>
  <c r="D427" i="48"/>
  <c r="K6" i="48" s="1"/>
  <c r="H427" i="48"/>
  <c r="K10" i="48" s="1"/>
  <c r="L427" i="48"/>
  <c r="K14" i="48" s="1"/>
  <c r="P427" i="48"/>
  <c r="K18" i="48" s="1"/>
  <c r="D213" i="48"/>
  <c r="G6" i="48" s="1"/>
  <c r="H213" i="48"/>
  <c r="G10" i="48" s="1"/>
  <c r="L213" i="48"/>
  <c r="G14" i="48" s="1"/>
  <c r="P213" i="48"/>
  <c r="G18" i="48" s="1"/>
  <c r="Q426" i="48"/>
  <c r="Q136" i="48"/>
  <c r="Q167" i="48"/>
  <c r="C213" i="48"/>
  <c r="G5" i="48" s="1"/>
  <c r="R3" i="48" s="1"/>
  <c r="E213" i="48"/>
  <c r="G7" i="48" s="1"/>
  <c r="M213" i="48"/>
  <c r="G15" i="48" s="1"/>
  <c r="Q289" i="48"/>
  <c r="Q45" i="48"/>
  <c r="C91" i="48"/>
  <c r="C5" i="48" s="1"/>
  <c r="C19" i="48" s="1"/>
  <c r="C25" i="48" s="1"/>
  <c r="G91" i="48"/>
  <c r="C9" i="48" s="1"/>
  <c r="K91" i="48"/>
  <c r="C13" i="48" s="1"/>
  <c r="O91" i="48"/>
  <c r="C17" i="48" s="1"/>
  <c r="Q75" i="48"/>
  <c r="Q90" i="48"/>
  <c r="D152" i="48"/>
  <c r="E6" i="48" s="1"/>
  <c r="R4" i="48" s="1"/>
  <c r="H152" i="48"/>
  <c r="E10" i="48" s="1"/>
  <c r="L152" i="48"/>
  <c r="E14" i="48" s="1"/>
  <c r="P152" i="48"/>
  <c r="E18" i="48" s="1"/>
  <c r="R16" i="48" s="1"/>
  <c r="F213" i="48"/>
  <c r="G8" i="48" s="1"/>
  <c r="J213" i="48"/>
  <c r="G12" i="48" s="1"/>
  <c r="N213" i="48"/>
  <c r="G16" i="48" s="1"/>
  <c r="D259" i="48"/>
  <c r="M6" i="48" s="1"/>
  <c r="H259" i="48"/>
  <c r="M10" i="48" s="1"/>
  <c r="S8" i="48" s="1"/>
  <c r="L259" i="48"/>
  <c r="M14" i="48" s="1"/>
  <c r="P259" i="48"/>
  <c r="M18" i="48" s="1"/>
  <c r="S16" i="48" s="1"/>
  <c r="F305" i="48"/>
  <c r="O8" i="48" s="1"/>
  <c r="S6" i="48" s="1"/>
  <c r="J305" i="48"/>
  <c r="O12" i="48" s="1"/>
  <c r="N305" i="48"/>
  <c r="O16" i="48" s="1"/>
  <c r="S14" i="48" s="1"/>
  <c r="Q304" i="48"/>
  <c r="Q320" i="48"/>
  <c r="C366" i="48"/>
  <c r="I5" i="48" s="1"/>
  <c r="G366" i="48"/>
  <c r="I9" i="48" s="1"/>
  <c r="K366" i="48"/>
  <c r="I13" i="48" s="1"/>
  <c r="O366" i="48"/>
  <c r="I17" i="48" s="1"/>
  <c r="Q350" i="48"/>
  <c r="Q365" i="48"/>
  <c r="Q381" i="48"/>
  <c r="Q427" i="48" s="1"/>
  <c r="C427" i="48"/>
  <c r="K5" i="48" s="1"/>
  <c r="G427" i="48"/>
  <c r="K9" i="48" s="1"/>
  <c r="K427" i="48"/>
  <c r="K13" i="48" s="1"/>
  <c r="O427" i="48"/>
  <c r="K17" i="48" s="1"/>
  <c r="R10" i="48"/>
  <c r="R14" i="48"/>
  <c r="O19" i="48" l="1"/>
  <c r="R6" i="48"/>
  <c r="Q213" i="48"/>
  <c r="C27" i="48"/>
  <c r="S12" i="48"/>
  <c r="R11" i="48"/>
  <c r="Q305" i="48"/>
  <c r="I19" i="48"/>
  <c r="S4" i="48"/>
  <c r="R9" i="48"/>
  <c r="R15" i="48"/>
  <c r="S10" i="48"/>
  <c r="K19" i="48"/>
  <c r="Q366" i="48"/>
  <c r="R12" i="48"/>
  <c r="R5" i="48"/>
  <c r="Q259" i="48"/>
  <c r="G19" i="48"/>
  <c r="C22" i="48"/>
  <c r="E19" i="48"/>
  <c r="R8" i="48"/>
  <c r="R13" i="48"/>
  <c r="M19" i="48"/>
  <c r="N447" i="48" s="1"/>
  <c r="S17" i="48"/>
  <c r="M23" i="48" s="1"/>
  <c r="C23" i="48"/>
  <c r="P19" i="48"/>
  <c r="C24" i="48"/>
  <c r="C26" i="48"/>
  <c r="R17" i="48" l="1"/>
  <c r="F22" i="48"/>
  <c r="F24" i="48"/>
  <c r="F25" i="48"/>
  <c r="M22" i="48"/>
  <c r="M24" i="48"/>
  <c r="M25" i="48"/>
  <c r="F23" i="48"/>
  <c r="C28" i="48"/>
  <c r="I39" i="3"/>
  <c r="I38" i="3"/>
  <c r="V9" i="44"/>
  <c r="V35" i="44"/>
  <c r="I40" i="3" s="1"/>
  <c r="S39" i="3"/>
  <c r="S38" i="3"/>
  <c r="M26" i="48" l="1"/>
  <c r="F26" i="48"/>
  <c r="X9" i="44"/>
  <c r="M38" i="3"/>
  <c r="O39" i="3"/>
  <c r="AA35" i="44"/>
  <c r="S40" i="3" s="1"/>
  <c r="AA9" i="44"/>
  <c r="W9" i="44"/>
  <c r="K38" i="3"/>
  <c r="M39" i="3"/>
  <c r="Z9" i="44"/>
  <c r="K39" i="3"/>
  <c r="Q38" i="3"/>
  <c r="Y9" i="44"/>
  <c r="O38" i="3"/>
  <c r="Q39" i="3"/>
  <c r="Z35" i="44"/>
  <c r="Q40" i="3" s="1"/>
  <c r="Y35" i="44"/>
  <c r="O40" i="3" s="1"/>
  <c r="X35" i="44"/>
  <c r="M40" i="3" s="1"/>
  <c r="K40" i="3"/>
  <c r="K80" i="3"/>
  <c r="M79" i="3"/>
  <c r="M80" i="3" s="1"/>
  <c r="J81" i="3"/>
  <c r="J7" i="24"/>
  <c r="J8" i="24"/>
  <c r="J9" i="24"/>
  <c r="J10" i="24"/>
  <c r="J11" i="24"/>
  <c r="J6" i="24"/>
  <c r="BD41" i="11"/>
  <c r="BD31" i="11"/>
  <c r="BD23" i="11"/>
  <c r="E36" i="10"/>
  <c r="I17" i="2"/>
  <c r="E37" i="10" s="1"/>
  <c r="J17" i="2"/>
  <c r="E38" i="10" s="1"/>
  <c r="K17" i="2"/>
  <c r="E39" i="10" s="1"/>
  <c r="L17" i="2"/>
  <c r="E40" i="10" s="1"/>
  <c r="F3" i="22"/>
  <c r="G3" i="22" s="1"/>
  <c r="H3" i="22" s="1"/>
  <c r="I3" i="22" s="1"/>
  <c r="J3" i="22" s="1"/>
  <c r="K3" i="22" s="1"/>
  <c r="F11" i="22"/>
  <c r="G11" i="22" s="1"/>
  <c r="H11" i="22" s="1"/>
  <c r="I11" i="22" s="1"/>
  <c r="J11" i="22" s="1"/>
  <c r="K11" i="22" s="1"/>
  <c r="C18" i="22"/>
  <c r="M12" i="22" s="1"/>
  <c r="D18" i="22"/>
  <c r="N12" i="22" s="1"/>
  <c r="E18" i="22"/>
  <c r="O13" i="22" s="1"/>
  <c r="F18" i="22"/>
  <c r="P13" i="22" s="1"/>
  <c r="G18" i="22"/>
  <c r="H18" i="22"/>
  <c r="I18" i="22"/>
  <c r="J18" i="22"/>
  <c r="J20" i="22" s="1"/>
  <c r="K18" i="22"/>
  <c r="C19" i="22"/>
  <c r="C7" i="22" s="1"/>
  <c r="D19" i="22"/>
  <c r="D7" i="22" s="1"/>
  <c r="E19" i="22"/>
  <c r="E7" i="22" s="1"/>
  <c r="F19" i="22"/>
  <c r="F7" i="22" s="1"/>
  <c r="C21" i="22"/>
  <c r="D21" i="22"/>
  <c r="E21" i="22"/>
  <c r="F21" i="22"/>
  <c r="C31" i="22"/>
  <c r="D31" i="22"/>
  <c r="E31" i="22"/>
  <c r="C33" i="22"/>
  <c r="D33" i="22"/>
  <c r="E33" i="22"/>
  <c r="F35" i="22"/>
  <c r="G35" i="22" s="1"/>
  <c r="H35" i="22" s="1"/>
  <c r="I35" i="22" s="1"/>
  <c r="J35" i="22" s="1"/>
  <c r="K35" i="22" s="1"/>
  <c r="K39" i="22"/>
  <c r="K40" i="22"/>
  <c r="C42" i="22"/>
  <c r="M39" i="22" s="1"/>
  <c r="D42" i="22"/>
  <c r="N36" i="22" s="1"/>
  <c r="E42" i="22"/>
  <c r="O36" i="22" s="1"/>
  <c r="C44" i="22"/>
  <c r="D44" i="22"/>
  <c r="E44" i="22"/>
  <c r="F47" i="22"/>
  <c r="G47" i="22"/>
  <c r="H47" i="22" s="1"/>
  <c r="I47" i="22" s="1"/>
  <c r="J47" i="22" s="1"/>
  <c r="K47" i="22" s="1"/>
  <c r="C54" i="22"/>
  <c r="M49" i="22" s="1"/>
  <c r="D54" i="22"/>
  <c r="N49" i="22" s="1"/>
  <c r="E54" i="22"/>
  <c r="O48" i="22" s="1"/>
  <c r="F54" i="22"/>
  <c r="B12" i="2"/>
  <c r="H16" i="52"/>
  <c r="F16" i="52"/>
  <c r="F4" i="22" s="1"/>
  <c r="E16" i="52"/>
  <c r="D16" i="52"/>
  <c r="C16" i="52"/>
  <c r="B16" i="52"/>
  <c r="E4" i="22" s="1"/>
  <c r="I20" i="22" l="1"/>
  <c r="D4" i="22"/>
  <c r="J12" i="24"/>
  <c r="O52" i="22"/>
  <c r="O40" i="22"/>
  <c r="D55" i="22"/>
  <c r="K20" i="22"/>
  <c r="F20" i="22"/>
  <c r="P16" i="22"/>
  <c r="P14" i="22"/>
  <c r="Q41" i="3"/>
  <c r="E41" i="10"/>
  <c r="E1" i="22"/>
  <c r="F1" i="22" s="1"/>
  <c r="G4" i="22"/>
  <c r="H4" i="22" s="1"/>
  <c r="I4" i="22" s="1"/>
  <c r="J4" i="22" s="1"/>
  <c r="K4" i="22" s="1"/>
  <c r="K7" i="22" s="1"/>
  <c r="N52" i="22"/>
  <c r="O16" i="22"/>
  <c r="N13" i="22"/>
  <c r="BO40" i="11"/>
  <c r="I41" i="12"/>
  <c r="N50" i="22"/>
  <c r="O17" i="22"/>
  <c r="O15" i="22"/>
  <c r="P12" i="22"/>
  <c r="BO15" i="11"/>
  <c r="I17" i="12"/>
  <c r="BO41" i="11"/>
  <c r="I42" i="12"/>
  <c r="BO31" i="11"/>
  <c r="I33" i="12"/>
  <c r="N48" i="22"/>
  <c r="O37" i="22"/>
  <c r="N17" i="22"/>
  <c r="N15" i="22"/>
  <c r="BO23" i="11"/>
  <c r="I24" i="12"/>
  <c r="O79" i="3"/>
  <c r="O80" i="3" s="1"/>
  <c r="H20" i="22"/>
  <c r="G20" i="22"/>
  <c r="M41" i="22"/>
  <c r="M38" i="22"/>
  <c r="O53" i="22"/>
  <c r="M52" i="22"/>
  <c r="O51" i="22"/>
  <c r="M50" i="22"/>
  <c r="O49" i="22"/>
  <c r="M48" i="22"/>
  <c r="F42" i="22"/>
  <c r="N40" i="22"/>
  <c r="O39" i="22"/>
  <c r="N37" i="22"/>
  <c r="M17" i="22"/>
  <c r="M15" i="22"/>
  <c r="O14" i="22"/>
  <c r="M13" i="22"/>
  <c r="Q13" i="22" s="1"/>
  <c r="O12" i="22"/>
  <c r="M36" i="22"/>
  <c r="C55" i="22"/>
  <c r="N53" i="22"/>
  <c r="N51" i="22"/>
  <c r="D45" i="22"/>
  <c r="O41" i="22"/>
  <c r="M40" i="22"/>
  <c r="N39" i="22"/>
  <c r="P39" i="22" s="1"/>
  <c r="O38" i="22"/>
  <c r="M37" i="22"/>
  <c r="P17" i="22"/>
  <c r="N16" i="22"/>
  <c r="P15" i="22"/>
  <c r="N14" i="22"/>
  <c r="G54" i="22"/>
  <c r="M53" i="22"/>
  <c r="P53" i="22" s="1"/>
  <c r="F53" i="22" s="1"/>
  <c r="M51" i="22"/>
  <c r="O50" i="22"/>
  <c r="C45" i="22"/>
  <c r="N41" i="22"/>
  <c r="N38" i="22"/>
  <c r="M16" i="22"/>
  <c r="M14" i="22"/>
  <c r="Q14" i="22" s="1"/>
  <c r="K14" i="22" s="1"/>
  <c r="G5" i="2"/>
  <c r="G8" i="2" s="1"/>
  <c r="E43" i="12"/>
  <c r="A43" i="12"/>
  <c r="E42" i="12"/>
  <c r="A42" i="12"/>
  <c r="E41" i="12"/>
  <c r="A41" i="12"/>
  <c r="E36" i="12"/>
  <c r="E35" i="12"/>
  <c r="E34" i="12"/>
  <c r="E33" i="12"/>
  <c r="E31" i="12"/>
  <c r="E27" i="12"/>
  <c r="E26" i="12"/>
  <c r="E25" i="12"/>
  <c r="E24" i="12"/>
  <c r="E23" i="12"/>
  <c r="E22" i="12"/>
  <c r="E21" i="12"/>
  <c r="A21" i="12"/>
  <c r="A29" i="12" s="1"/>
  <c r="A38" i="12" s="1"/>
  <c r="E20" i="12"/>
  <c r="A20" i="12"/>
  <c r="A28" i="12" s="1"/>
  <c r="A37" i="12" s="1"/>
  <c r="E19" i="12"/>
  <c r="A19" i="12"/>
  <c r="A27" i="12" s="1"/>
  <c r="A36" i="12" s="1"/>
  <c r="E18" i="12"/>
  <c r="A18" i="12"/>
  <c r="A26" i="12" s="1"/>
  <c r="A35" i="12" s="1"/>
  <c r="E17" i="12"/>
  <c r="A17" i="12"/>
  <c r="A25" i="12" s="1"/>
  <c r="A34" i="12" s="1"/>
  <c r="E16" i="12"/>
  <c r="A16" i="12"/>
  <c r="A24" i="12" s="1"/>
  <c r="A33" i="12" s="1"/>
  <c r="H5" i="2"/>
  <c r="H8" i="2" s="1"/>
  <c r="H21" i="2" s="1"/>
  <c r="B69" i="17"/>
  <c r="D69" i="17"/>
  <c r="F69" i="17"/>
  <c r="H69" i="17"/>
  <c r="J69" i="17"/>
  <c r="K69" i="17"/>
  <c r="K70" i="17" s="1"/>
  <c r="L69" i="17"/>
  <c r="M69" i="17"/>
  <c r="M8" i="49"/>
  <c r="L7" i="49"/>
  <c r="K6" i="49"/>
  <c r="I5" i="49"/>
  <c r="W80" i="3"/>
  <c r="E7" i="16"/>
  <c r="E9" i="16" s="1"/>
  <c r="E8" i="16"/>
  <c r="AH50" i="11" s="1"/>
  <c r="I24" i="3"/>
  <c r="K24" i="3" s="1"/>
  <c r="M24" i="3" s="1"/>
  <c r="O24" i="3" s="1"/>
  <c r="Q24" i="3" s="1"/>
  <c r="S24" i="3" s="1"/>
  <c r="B23" i="3"/>
  <c r="B19" i="3"/>
  <c r="B21" i="3"/>
  <c r="B17" i="3"/>
  <c r="I20" i="3"/>
  <c r="B9" i="3"/>
  <c r="I9" i="3"/>
  <c r="K9" i="3" s="1"/>
  <c r="M9" i="3" s="1"/>
  <c r="I63" i="3"/>
  <c r="K63" i="3" s="1"/>
  <c r="M63" i="3" s="1"/>
  <c r="O63" i="3" s="1"/>
  <c r="Q63" i="3" s="1"/>
  <c r="S63" i="3" s="1"/>
  <c r="I8" i="3"/>
  <c r="B8" i="3"/>
  <c r="B10" i="3"/>
  <c r="I5" i="3"/>
  <c r="Q16" i="22" l="1"/>
  <c r="I16" i="22" s="1"/>
  <c r="P40" i="22"/>
  <c r="P52" i="22"/>
  <c r="F52" i="22" s="1"/>
  <c r="K5" i="3"/>
  <c r="M5" i="3" s="1"/>
  <c r="O5" i="3" s="1"/>
  <c r="P37" i="22"/>
  <c r="K8" i="3"/>
  <c r="Q79" i="3"/>
  <c r="S79" i="3" s="1"/>
  <c r="S80" i="3" s="1"/>
  <c r="O69" i="17" s="1"/>
  <c r="G53" i="2"/>
  <c r="I76" i="3"/>
  <c r="P18" i="22"/>
  <c r="O42" i="22"/>
  <c r="O54" i="22"/>
  <c r="BZ23" i="11"/>
  <c r="L24" i="12"/>
  <c r="BZ41" i="11"/>
  <c r="L42" i="12"/>
  <c r="BZ40" i="11"/>
  <c r="L41" i="12"/>
  <c r="N54" i="22"/>
  <c r="Q15" i="22"/>
  <c r="K15" i="22" s="1"/>
  <c r="P38" i="22"/>
  <c r="F38" i="22" s="1"/>
  <c r="N18" i="22"/>
  <c r="O18" i="22"/>
  <c r="BZ31" i="11"/>
  <c r="L33" i="12"/>
  <c r="BZ15" i="11"/>
  <c r="L17" i="12"/>
  <c r="R69" i="17"/>
  <c r="N42" i="22"/>
  <c r="H14" i="22"/>
  <c r="G14" i="22"/>
  <c r="G48" i="22"/>
  <c r="G50" i="22"/>
  <c r="G52" i="22"/>
  <c r="H54" i="22"/>
  <c r="G51" i="22"/>
  <c r="G53" i="22"/>
  <c r="G49" i="22"/>
  <c r="K16" i="22"/>
  <c r="G13" i="22"/>
  <c r="I13" i="22"/>
  <c r="H13" i="22"/>
  <c r="J16" i="22"/>
  <c r="P41" i="22"/>
  <c r="F41" i="22" s="1"/>
  <c r="K13" i="22"/>
  <c r="K21" i="22" s="1"/>
  <c r="Q12" i="22"/>
  <c r="G12" i="22" s="1"/>
  <c r="P51" i="22"/>
  <c r="F51" i="22" s="1"/>
  <c r="I14" i="22"/>
  <c r="M42" i="22"/>
  <c r="P36" i="22"/>
  <c r="F36" i="22" s="1"/>
  <c r="J14" i="22"/>
  <c r="Q17" i="22"/>
  <c r="F37" i="22"/>
  <c r="G42" i="22"/>
  <c r="P50" i="22"/>
  <c r="F50" i="22" s="1"/>
  <c r="P49" i="22"/>
  <c r="F49" i="22" s="1"/>
  <c r="H16" i="22"/>
  <c r="G16" i="22"/>
  <c r="P48" i="22"/>
  <c r="M54" i="22"/>
  <c r="J13" i="22"/>
  <c r="M18" i="22"/>
  <c r="S69" i="17"/>
  <c r="O9" i="3"/>
  <c r="Q9" i="3" s="1"/>
  <c r="S9" i="3" s="1"/>
  <c r="Q80" i="3" l="1"/>
  <c r="N69" i="17" s="1"/>
  <c r="H21" i="22"/>
  <c r="H15" i="22"/>
  <c r="J15" i="22"/>
  <c r="I15" i="22"/>
  <c r="G15" i="22"/>
  <c r="K7" i="3"/>
  <c r="M8" i="3"/>
  <c r="O8" i="3" s="1"/>
  <c r="Q8" i="3" s="1"/>
  <c r="S8" i="3" s="1"/>
  <c r="CK15" i="11"/>
  <c r="R17" i="12" s="1"/>
  <c r="O17" i="12"/>
  <c r="CK41" i="11"/>
  <c r="R42" i="12" s="1"/>
  <c r="O42" i="12"/>
  <c r="CK40" i="11"/>
  <c r="R41" i="12" s="1"/>
  <c r="O41" i="12"/>
  <c r="CK23" i="11"/>
  <c r="R24" i="12" s="1"/>
  <c r="O24" i="12"/>
  <c r="J21" i="22"/>
  <c r="CK31" i="11"/>
  <c r="R33" i="12" s="1"/>
  <c r="O33" i="12"/>
  <c r="I21" i="22"/>
  <c r="G21" i="22"/>
  <c r="G17" i="22"/>
  <c r="I17" i="22"/>
  <c r="H17" i="22"/>
  <c r="J17" i="22"/>
  <c r="K17" i="22"/>
  <c r="P54" i="22"/>
  <c r="F48" i="22"/>
  <c r="G37" i="22"/>
  <c r="H42" i="22"/>
  <c r="G36" i="22"/>
  <c r="G38" i="22"/>
  <c r="G41" i="22"/>
  <c r="H49" i="22"/>
  <c r="H51" i="22"/>
  <c r="H53" i="22"/>
  <c r="H48" i="22"/>
  <c r="H50" i="22"/>
  <c r="H52" i="22"/>
  <c r="I54" i="22"/>
  <c r="F44" i="22"/>
  <c r="H12" i="22"/>
  <c r="Q18" i="22"/>
  <c r="J12" i="22"/>
  <c r="K12" i="22"/>
  <c r="I12" i="22"/>
  <c r="I5" i="2"/>
  <c r="I8" i="2" s="1"/>
  <c r="K19" i="22" l="1"/>
  <c r="G44" i="22"/>
  <c r="J19" i="22"/>
  <c r="J7" i="22" s="1"/>
  <c r="G19" i="22"/>
  <c r="G7" i="22" s="1"/>
  <c r="F46" i="23"/>
  <c r="J54" i="22"/>
  <c r="I49" i="22"/>
  <c r="I51" i="22"/>
  <c r="I53" i="22"/>
  <c r="I50" i="22"/>
  <c r="I52" i="22"/>
  <c r="I48" i="22"/>
  <c r="I19" i="22"/>
  <c r="I7" i="22" s="1"/>
  <c r="H19" i="22"/>
  <c r="H7" i="22" s="1"/>
  <c r="H38" i="22"/>
  <c r="H37" i="22"/>
  <c r="I42" i="22"/>
  <c r="H41" i="22"/>
  <c r="H36" i="22"/>
  <c r="H44" i="22" l="1"/>
  <c r="I36" i="22"/>
  <c r="I38" i="22"/>
  <c r="I41" i="22"/>
  <c r="I37" i="22"/>
  <c r="I44" i="22" s="1"/>
  <c r="J42" i="22"/>
  <c r="J48" i="22"/>
  <c r="J50" i="22"/>
  <c r="J52" i="22"/>
  <c r="K54" i="22"/>
  <c r="J49" i="22"/>
  <c r="J51" i="22"/>
  <c r="J53" i="22"/>
  <c r="K49" i="22" l="1"/>
  <c r="K53" i="22"/>
  <c r="K48" i="22"/>
  <c r="K50" i="22"/>
  <c r="K52" i="22"/>
  <c r="K51" i="22"/>
  <c r="J36" i="22"/>
  <c r="J38" i="22"/>
  <c r="J41" i="22"/>
  <c r="J37" i="22"/>
  <c r="K42" i="22"/>
  <c r="K37" i="22" l="1"/>
  <c r="K36" i="22"/>
  <c r="K38" i="22"/>
  <c r="K41" i="22"/>
  <c r="J44" i="22"/>
  <c r="K44" i="22" l="1"/>
  <c r="I22" i="42" l="1"/>
  <c r="G11" i="24" l="1"/>
  <c r="K11" i="24" s="1"/>
  <c r="G10" i="24" l="1"/>
  <c r="K10" i="24" s="1"/>
  <c r="G6" i="24"/>
  <c r="K6" i="24" s="1"/>
  <c r="G7" i="24"/>
  <c r="K7" i="24" s="1"/>
  <c r="G8" i="24"/>
  <c r="K8" i="24" s="1"/>
  <c r="G9" i="24"/>
  <c r="K9" i="24" s="1"/>
  <c r="G24" i="24"/>
  <c r="G25" i="24"/>
  <c r="G23" i="24"/>
  <c r="G14" i="24"/>
  <c r="F46" i="2"/>
  <c r="F47" i="2"/>
  <c r="F45" i="2"/>
  <c r="F44" i="2"/>
  <c r="F43" i="2"/>
  <c r="F5" i="2"/>
  <c r="K12" i="24" l="1"/>
  <c r="K13" i="24" s="1"/>
  <c r="F48" i="2"/>
  <c r="G22" i="24"/>
  <c r="G16" i="24"/>
  <c r="G17" i="24"/>
  <c r="G15" i="24" l="1"/>
  <c r="I54" i="47"/>
  <c r="H54" i="47"/>
  <c r="G54" i="47"/>
  <c r="F54" i="47"/>
  <c r="E54" i="47"/>
  <c r="K53" i="47"/>
  <c r="K52" i="47"/>
  <c r="K51" i="47"/>
  <c r="I49" i="47"/>
  <c r="I55" i="47" s="1"/>
  <c r="H49" i="47"/>
  <c r="H55" i="47" s="1"/>
  <c r="G49" i="47"/>
  <c r="G55" i="47" s="1"/>
  <c r="F49" i="47"/>
  <c r="F55" i="47" s="1"/>
  <c r="E49" i="47"/>
  <c r="E55" i="47" s="1"/>
  <c r="K48" i="47"/>
  <c r="K47" i="47"/>
  <c r="K46" i="47"/>
  <c r="K45" i="47"/>
  <c r="C76" i="23"/>
  <c r="D76" i="23" s="1"/>
  <c r="E76" i="23" s="1"/>
  <c r="F76" i="23" s="1"/>
  <c r="G76" i="23" s="1"/>
  <c r="H76" i="23" s="1"/>
  <c r="I76" i="23" s="1"/>
  <c r="J76" i="23" s="1"/>
  <c r="F8" i="2"/>
  <c r="I52" i="42"/>
  <c r="I51" i="42"/>
  <c r="H52" i="42"/>
  <c r="H51" i="42"/>
  <c r="G54" i="42"/>
  <c r="G52" i="42"/>
  <c r="G51" i="42"/>
  <c r="G50" i="42"/>
  <c r="F55" i="42"/>
  <c r="F54" i="42"/>
  <c r="F53" i="42"/>
  <c r="F52" i="42"/>
  <c r="F51" i="42"/>
  <c r="F50" i="42"/>
  <c r="E55" i="42"/>
  <c r="E54" i="42"/>
  <c r="E52" i="42"/>
  <c r="E51" i="42"/>
  <c r="E50" i="42"/>
  <c r="I56" i="42" l="1"/>
  <c r="I25" i="42" s="1"/>
  <c r="K54" i="47"/>
  <c r="K55" i="47"/>
  <c r="K49" i="47"/>
  <c r="H56" i="42"/>
  <c r="H25" i="42" s="1"/>
  <c r="H17" i="42" s="1"/>
  <c r="E56" i="42"/>
  <c r="G56" i="42"/>
  <c r="K50" i="42"/>
  <c r="K56" i="42" s="1"/>
  <c r="L50" i="42"/>
  <c r="L56" i="42" s="1"/>
  <c r="F9" i="2"/>
  <c r="I17" i="42"/>
  <c r="F56" i="42"/>
  <c r="F25" i="42" s="1"/>
  <c r="G25" i="42" l="1"/>
  <c r="G17" i="42" s="1"/>
  <c r="E25" i="42"/>
  <c r="E17" i="42" s="1"/>
  <c r="E6" i="42" s="1"/>
  <c r="F17" i="42"/>
  <c r="H6" i="42" l="1"/>
  <c r="Q89" i="3" s="1"/>
  <c r="N78" i="18" s="1"/>
  <c r="J17" i="42"/>
  <c r="I6" i="42"/>
  <c r="S89" i="3" s="1"/>
  <c r="O78" i="18" s="1"/>
  <c r="F6" i="42"/>
  <c r="G6" i="42"/>
  <c r="O89" i="3" s="1"/>
  <c r="M78" i="18" s="1"/>
  <c r="K89" i="3"/>
  <c r="K78" i="18" s="1"/>
  <c r="K78" i="17" l="1"/>
  <c r="N78" i="17"/>
  <c r="O78" i="17"/>
  <c r="M78" i="17"/>
  <c r="M89" i="3"/>
  <c r="L79" i="18" s="1"/>
  <c r="L78" i="17" l="1"/>
  <c r="D50" i="42"/>
  <c r="L68" i="2"/>
  <c r="K68" i="2"/>
  <c r="J68" i="2"/>
  <c r="I68" i="2"/>
  <c r="H68" i="2"/>
  <c r="G68" i="2"/>
  <c r="E43" i="47"/>
  <c r="I43" i="47" l="1"/>
  <c r="H43" i="47"/>
  <c r="G43" i="47"/>
  <c r="F43" i="47"/>
  <c r="K42" i="47"/>
  <c r="I81" i="3" s="1"/>
  <c r="K41" i="47"/>
  <c r="K40" i="47"/>
  <c r="I38" i="47"/>
  <c r="H38" i="47"/>
  <c r="G38" i="47"/>
  <c r="F38" i="47"/>
  <c r="E38" i="47"/>
  <c r="E44" i="47" s="1"/>
  <c r="K35" i="47"/>
  <c r="K36" i="47"/>
  <c r="K37" i="47"/>
  <c r="K34" i="47"/>
  <c r="I27" i="47"/>
  <c r="H27" i="47"/>
  <c r="G27" i="47"/>
  <c r="K24" i="47"/>
  <c r="H44" i="47" l="1"/>
  <c r="G44" i="47"/>
  <c r="I44" i="47"/>
  <c r="K81" i="3"/>
  <c r="F44" i="47"/>
  <c r="K43" i="47"/>
  <c r="K38" i="47"/>
  <c r="K44" i="47" l="1"/>
  <c r="C79" i="18"/>
  <c r="H27" i="46"/>
  <c r="H29" i="46" s="1"/>
  <c r="B10" i="16"/>
  <c r="E32" i="47" l="1"/>
  <c r="J21" i="47"/>
  <c r="F21" i="47"/>
  <c r="G21" i="47"/>
  <c r="H21" i="47"/>
  <c r="I21" i="47"/>
  <c r="E21" i="47"/>
  <c r="C7" i="47"/>
  <c r="C11" i="47" s="1"/>
  <c r="K10" i="47"/>
  <c r="D11" i="47"/>
  <c r="E7" i="47"/>
  <c r="E11" i="47" s="1"/>
  <c r="F7" i="47" l="1"/>
  <c r="F11" i="47" s="1"/>
  <c r="G7" i="47"/>
  <c r="G11" i="47" s="1"/>
  <c r="H7" i="47"/>
  <c r="H11" i="47" s="1"/>
  <c r="I7" i="47"/>
  <c r="I11" i="47" s="1"/>
  <c r="J7" i="47"/>
  <c r="J11" i="47" s="1"/>
  <c r="K5" i="47"/>
  <c r="K6" i="47"/>
  <c r="K8" i="47"/>
  <c r="K9" i="47"/>
  <c r="K12" i="47"/>
  <c r="K13" i="47"/>
  <c r="K18" i="47"/>
  <c r="K20" i="47"/>
  <c r="K21" i="47"/>
  <c r="K29" i="47"/>
  <c r="K31" i="47"/>
  <c r="G32" i="47"/>
  <c r="G33" i="47" s="1"/>
  <c r="H32" i="47"/>
  <c r="I32" i="47"/>
  <c r="I33" i="47" s="1"/>
  <c r="F32" i="47"/>
  <c r="F27" i="47"/>
  <c r="I16" i="47"/>
  <c r="I22" i="47" s="1"/>
  <c r="H16" i="47"/>
  <c r="H22" i="47" s="1"/>
  <c r="G16" i="47"/>
  <c r="F16" i="47"/>
  <c r="F22" i="47" s="1"/>
  <c r="E16" i="47"/>
  <c r="L33" i="23"/>
  <c r="L34" i="23"/>
  <c r="L32" i="23"/>
  <c r="C15" i="1"/>
  <c r="C34" i="18"/>
  <c r="C33" i="18"/>
  <c r="C32" i="18"/>
  <c r="B35" i="17"/>
  <c r="B35" i="18" s="1"/>
  <c r="B31" i="17"/>
  <c r="B31" i="18" s="1"/>
  <c r="C20" i="18"/>
  <c r="C21" i="18"/>
  <c r="C22" i="18"/>
  <c r="C23" i="18"/>
  <c r="C24" i="18"/>
  <c r="C25" i="18"/>
  <c r="C26" i="18"/>
  <c r="C27" i="18"/>
  <c r="C28" i="18"/>
  <c r="C29" i="18"/>
  <c r="I47" i="3"/>
  <c r="K47" i="3" s="1"/>
  <c r="M47" i="3" s="1"/>
  <c r="O47" i="3" s="1"/>
  <c r="Q47" i="3" s="1"/>
  <c r="I48" i="3"/>
  <c r="K48" i="3" s="1"/>
  <c r="M48" i="3" s="1"/>
  <c r="O48" i="3" s="1"/>
  <c r="Q48" i="3" s="1"/>
  <c r="I49" i="3"/>
  <c r="K49" i="3" s="1"/>
  <c r="M49" i="3" s="1"/>
  <c r="O49" i="3" s="1"/>
  <c r="Q49" i="3" s="1"/>
  <c r="I50" i="3"/>
  <c r="K50" i="3" s="1"/>
  <c r="M50" i="3" s="1"/>
  <c r="O50" i="3" s="1"/>
  <c r="Q50" i="3" s="1"/>
  <c r="I51" i="3"/>
  <c r="K51" i="3" s="1"/>
  <c r="M51" i="3" s="1"/>
  <c r="O51" i="3" s="1"/>
  <c r="Q51" i="3" s="1"/>
  <c r="I52" i="3"/>
  <c r="K52" i="3" s="1"/>
  <c r="M52" i="3" s="1"/>
  <c r="O52" i="3" s="1"/>
  <c r="Q52" i="3" s="1"/>
  <c r="I53" i="3"/>
  <c r="K53" i="3" s="1"/>
  <c r="M53" i="3" s="1"/>
  <c r="O53" i="3" s="1"/>
  <c r="Q53" i="3" s="1"/>
  <c r="I54" i="3"/>
  <c r="K54" i="3" s="1"/>
  <c r="M54" i="3" s="1"/>
  <c r="O54" i="3" s="1"/>
  <c r="Q54" i="3" s="1"/>
  <c r="I55" i="3"/>
  <c r="K55" i="3" s="1"/>
  <c r="M55" i="3" s="1"/>
  <c r="O55" i="3" s="1"/>
  <c r="Q55" i="3" s="1"/>
  <c r="I56" i="3"/>
  <c r="K56" i="3" s="1"/>
  <c r="M56" i="3" s="1"/>
  <c r="O56" i="3" s="1"/>
  <c r="Q56" i="3" s="1"/>
  <c r="I57" i="3"/>
  <c r="K57" i="3" s="1"/>
  <c r="M57" i="3" s="1"/>
  <c r="O57" i="3" s="1"/>
  <c r="Q57" i="3" s="1"/>
  <c r="I58" i="3"/>
  <c r="K58" i="3" s="1"/>
  <c r="M58" i="3" s="1"/>
  <c r="O58" i="3" s="1"/>
  <c r="Q58" i="3" s="1"/>
  <c r="I59" i="3"/>
  <c r="K59" i="3" s="1"/>
  <c r="M59" i="3" s="1"/>
  <c r="O59" i="3" s="1"/>
  <c r="Q59" i="3" s="1"/>
  <c r="I60" i="3"/>
  <c r="K60" i="3" s="1"/>
  <c r="M60" i="3" s="1"/>
  <c r="O60" i="3" s="1"/>
  <c r="Q60" i="3" s="1"/>
  <c r="S60" i="3" s="1"/>
  <c r="I61" i="3"/>
  <c r="K61" i="3" s="1"/>
  <c r="M61" i="3" s="1"/>
  <c r="O61" i="3" s="1"/>
  <c r="Q61" i="3" s="1"/>
  <c r="I62" i="3"/>
  <c r="K62" i="3" s="1"/>
  <c r="M62" i="3" s="1"/>
  <c r="O62" i="3" s="1"/>
  <c r="Q62" i="3" s="1"/>
  <c r="I65" i="3"/>
  <c r="K65" i="3" s="1"/>
  <c r="M65" i="3" s="1"/>
  <c r="O65" i="3" s="1"/>
  <c r="Q65" i="3" s="1"/>
  <c r="I66" i="3"/>
  <c r="K66" i="3" s="1"/>
  <c r="M66" i="3" s="1"/>
  <c r="O66" i="3" s="1"/>
  <c r="Q66" i="3" s="1"/>
  <c r="I67" i="3"/>
  <c r="M67" i="3" s="1"/>
  <c r="O67" i="3" s="1"/>
  <c r="Q67" i="3" s="1"/>
  <c r="S67" i="3" s="1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5" i="3"/>
  <c r="G66" i="3"/>
  <c r="G67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5" i="3"/>
  <c r="E66" i="3"/>
  <c r="E67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5" i="3"/>
  <c r="C66" i="3"/>
  <c r="C67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5" i="3"/>
  <c r="B66" i="3"/>
  <c r="B67" i="3"/>
  <c r="B50" i="16"/>
  <c r="B77" i="16"/>
  <c r="D77" i="16"/>
  <c r="E77" i="16"/>
  <c r="I46" i="3"/>
  <c r="K46" i="3" s="1"/>
  <c r="M46" i="3" s="1"/>
  <c r="O46" i="3" s="1"/>
  <c r="Q46" i="3" s="1"/>
  <c r="S46" i="3" s="1"/>
  <c r="I25" i="3"/>
  <c r="K25" i="3" s="1"/>
  <c r="M25" i="3" s="1"/>
  <c r="O25" i="3" s="1"/>
  <c r="Q25" i="3" s="1"/>
  <c r="S25" i="3" s="1"/>
  <c r="I26" i="3"/>
  <c r="K26" i="3" s="1"/>
  <c r="M26" i="3" s="1"/>
  <c r="O26" i="3" s="1"/>
  <c r="Q26" i="3" s="1"/>
  <c r="S26" i="3" s="1"/>
  <c r="I44" i="3"/>
  <c r="I45" i="3"/>
  <c r="K45" i="3" s="1"/>
  <c r="M45" i="3" s="1"/>
  <c r="O45" i="3" s="1"/>
  <c r="Q45" i="3" s="1"/>
  <c r="G46" i="3"/>
  <c r="G26" i="3"/>
  <c r="G44" i="3"/>
  <c r="G45" i="3"/>
  <c r="E26" i="3"/>
  <c r="F26" i="17" s="1"/>
  <c r="E44" i="3"/>
  <c r="F27" i="17" s="1"/>
  <c r="E45" i="3"/>
  <c r="F28" i="17" s="1"/>
  <c r="E46" i="3"/>
  <c r="F29" i="17" s="1"/>
  <c r="C26" i="3"/>
  <c r="D26" i="17" s="1"/>
  <c r="C44" i="3"/>
  <c r="D27" i="17" s="1"/>
  <c r="C45" i="3"/>
  <c r="D28" i="17" s="1"/>
  <c r="C46" i="3"/>
  <c r="D29" i="17" s="1"/>
  <c r="B46" i="3"/>
  <c r="B29" i="17" s="1"/>
  <c r="B29" i="18" s="1"/>
  <c r="B26" i="3"/>
  <c r="B26" i="17" s="1"/>
  <c r="B26" i="18" s="1"/>
  <c r="B44" i="3"/>
  <c r="B27" i="17" s="1"/>
  <c r="B27" i="18" s="1"/>
  <c r="B45" i="3"/>
  <c r="B28" i="17" s="1"/>
  <c r="B28" i="18" s="1"/>
  <c r="D39" i="16"/>
  <c r="C39" i="16"/>
  <c r="B39" i="16"/>
  <c r="I72" i="3"/>
  <c r="K72" i="3" s="1"/>
  <c r="M72" i="3" s="1"/>
  <c r="O72" i="3" s="1"/>
  <c r="Q72" i="3" s="1"/>
  <c r="S72" i="3" s="1"/>
  <c r="I71" i="3"/>
  <c r="K71" i="3" s="1"/>
  <c r="M71" i="3" s="1"/>
  <c r="O71" i="3" s="1"/>
  <c r="Q71" i="3" s="1"/>
  <c r="S71" i="3" s="1"/>
  <c r="I43" i="3"/>
  <c r="K43" i="3" s="1"/>
  <c r="M43" i="3" s="1"/>
  <c r="O43" i="3" s="1"/>
  <c r="Q43" i="3" s="1"/>
  <c r="G43" i="3"/>
  <c r="E43" i="3"/>
  <c r="C43" i="3"/>
  <c r="C71" i="3"/>
  <c r="C72" i="3"/>
  <c r="B43" i="3"/>
  <c r="J32" i="18"/>
  <c r="G39" i="3"/>
  <c r="G40" i="3"/>
  <c r="G38" i="3"/>
  <c r="E39" i="3"/>
  <c r="E40" i="3"/>
  <c r="F34" i="17" s="1"/>
  <c r="E38" i="3"/>
  <c r="C39" i="3"/>
  <c r="C40" i="3"/>
  <c r="D34" i="17" s="1"/>
  <c r="C38" i="3"/>
  <c r="D32" i="18" s="1"/>
  <c r="B33" i="17"/>
  <c r="B33" i="18" s="1"/>
  <c r="B34" i="17"/>
  <c r="B34" i="18" s="1"/>
  <c r="B32" i="17"/>
  <c r="B32" i="18" s="1"/>
  <c r="I64" i="3"/>
  <c r="K64" i="3" s="1"/>
  <c r="M64" i="3" s="1"/>
  <c r="O64" i="3" s="1"/>
  <c r="Q64" i="3" s="1"/>
  <c r="S64" i="3" s="1"/>
  <c r="I21" i="3"/>
  <c r="K21" i="3" s="1"/>
  <c r="M21" i="3" s="1"/>
  <c r="O21" i="3" s="1"/>
  <c r="Q21" i="3" s="1"/>
  <c r="S21" i="3" s="1"/>
  <c r="I22" i="3"/>
  <c r="K22" i="3" s="1"/>
  <c r="M22" i="3" s="1"/>
  <c r="O22" i="3" s="1"/>
  <c r="Q22" i="3" s="1"/>
  <c r="S22" i="3" s="1"/>
  <c r="O24" i="17"/>
  <c r="M9" i="17"/>
  <c r="I10" i="3"/>
  <c r="I11" i="3"/>
  <c r="K11" i="3" s="1"/>
  <c r="M11" i="3" s="1"/>
  <c r="O11" i="3" s="1"/>
  <c r="Q11" i="3" s="1"/>
  <c r="S11" i="3" s="1"/>
  <c r="I12" i="3"/>
  <c r="K12" i="3" s="1"/>
  <c r="M12" i="3" s="1"/>
  <c r="O12" i="3" s="1"/>
  <c r="Q12" i="3" s="1"/>
  <c r="S12" i="3" s="1"/>
  <c r="I14" i="3"/>
  <c r="K14" i="3" s="1"/>
  <c r="M14" i="3" s="1"/>
  <c r="O14" i="3" s="1"/>
  <c r="Q14" i="3" s="1"/>
  <c r="S14" i="3" s="1"/>
  <c r="I15" i="3"/>
  <c r="K15" i="3" s="1"/>
  <c r="M15" i="3" s="1"/>
  <c r="O15" i="3" s="1"/>
  <c r="Q15" i="3" s="1"/>
  <c r="S15" i="3" s="1"/>
  <c r="I16" i="3"/>
  <c r="K16" i="3" s="1"/>
  <c r="M16" i="3" s="1"/>
  <c r="O16" i="3" s="1"/>
  <c r="Q16" i="3" s="1"/>
  <c r="S16" i="3" s="1"/>
  <c r="I17" i="3"/>
  <c r="K17" i="3" s="1"/>
  <c r="M17" i="3" s="1"/>
  <c r="O17" i="3" s="1"/>
  <c r="Q17" i="3" s="1"/>
  <c r="S17" i="3" s="1"/>
  <c r="I18" i="3"/>
  <c r="K18" i="3" s="1"/>
  <c r="M18" i="3" s="1"/>
  <c r="O18" i="3" s="1"/>
  <c r="Q18" i="3" s="1"/>
  <c r="S18" i="3" s="1"/>
  <c r="I19" i="3"/>
  <c r="K19" i="3" s="1"/>
  <c r="M19" i="3" s="1"/>
  <c r="O19" i="3" s="1"/>
  <c r="Q19" i="3" s="1"/>
  <c r="S19" i="3" s="1"/>
  <c r="G63" i="3"/>
  <c r="G9" i="3"/>
  <c r="G10" i="3"/>
  <c r="G11" i="3"/>
  <c r="G12" i="3"/>
  <c r="G14" i="3"/>
  <c r="G15" i="3"/>
  <c r="G16" i="3"/>
  <c r="G17" i="3"/>
  <c r="G18" i="3"/>
  <c r="G19" i="3"/>
  <c r="G20" i="3"/>
  <c r="G64" i="3"/>
  <c r="G21" i="3"/>
  <c r="G22" i="3"/>
  <c r="G23" i="3"/>
  <c r="G24" i="3"/>
  <c r="G25" i="3"/>
  <c r="E63" i="3"/>
  <c r="F8" i="17" s="1"/>
  <c r="E9" i="3"/>
  <c r="F9" i="17" s="1"/>
  <c r="E10" i="3"/>
  <c r="F10" i="17" s="1"/>
  <c r="E11" i="3"/>
  <c r="F11" i="17" s="1"/>
  <c r="E12" i="3"/>
  <c r="F12" i="17" s="1"/>
  <c r="E14" i="3"/>
  <c r="F13" i="17" s="1"/>
  <c r="E15" i="3"/>
  <c r="F14" i="17" s="1"/>
  <c r="E16" i="3"/>
  <c r="F15" i="17" s="1"/>
  <c r="E17" i="3"/>
  <c r="F16" i="17" s="1"/>
  <c r="E18" i="3"/>
  <c r="F17" i="17" s="1"/>
  <c r="E19" i="3"/>
  <c r="F18" i="17" s="1"/>
  <c r="E20" i="3"/>
  <c r="F19" i="17" s="1"/>
  <c r="E64" i="3"/>
  <c r="F20" i="17" s="1"/>
  <c r="E21" i="3"/>
  <c r="F21" i="17" s="1"/>
  <c r="E22" i="3"/>
  <c r="F22" i="17" s="1"/>
  <c r="E23" i="3"/>
  <c r="F23" i="17" s="1"/>
  <c r="E24" i="3"/>
  <c r="F24" i="17" s="1"/>
  <c r="E25" i="3"/>
  <c r="F25" i="17" s="1"/>
  <c r="E8" i="3"/>
  <c r="G8" i="3"/>
  <c r="C63" i="3"/>
  <c r="D8" i="17" s="1"/>
  <c r="C9" i="3"/>
  <c r="D9" i="17" s="1"/>
  <c r="C10" i="3"/>
  <c r="D10" i="17" s="1"/>
  <c r="C11" i="3"/>
  <c r="D11" i="17" s="1"/>
  <c r="C12" i="3"/>
  <c r="D12" i="17" s="1"/>
  <c r="C14" i="3"/>
  <c r="D13" i="17" s="1"/>
  <c r="C15" i="3"/>
  <c r="D14" i="17" s="1"/>
  <c r="C16" i="3"/>
  <c r="D15" i="17" s="1"/>
  <c r="C17" i="3"/>
  <c r="D16" i="17" s="1"/>
  <c r="C18" i="3"/>
  <c r="D17" i="17" s="1"/>
  <c r="C19" i="3"/>
  <c r="D18" i="17" s="1"/>
  <c r="C20" i="3"/>
  <c r="D19" i="17" s="1"/>
  <c r="C64" i="3"/>
  <c r="D20" i="17" s="1"/>
  <c r="C21" i="3"/>
  <c r="D21" i="17" s="1"/>
  <c r="C22" i="3"/>
  <c r="D22" i="17" s="1"/>
  <c r="C23" i="3"/>
  <c r="D23" i="17" s="1"/>
  <c r="C24" i="3"/>
  <c r="D24" i="17" s="1"/>
  <c r="C25" i="3"/>
  <c r="D25" i="17" s="1"/>
  <c r="B25" i="3"/>
  <c r="B25" i="17" s="1"/>
  <c r="B25" i="18" s="1"/>
  <c r="B23" i="17"/>
  <c r="B23" i="18" s="1"/>
  <c r="B24" i="3"/>
  <c r="B24" i="17" s="1"/>
  <c r="B24" i="18" s="1"/>
  <c r="B22" i="3"/>
  <c r="B22" i="17" s="1"/>
  <c r="B22" i="18" s="1"/>
  <c r="B63" i="3"/>
  <c r="B8" i="17" s="1"/>
  <c r="B8" i="18" s="1"/>
  <c r="B9" i="17"/>
  <c r="B9" i="18" s="1"/>
  <c r="B10" i="17"/>
  <c r="B10" i="18" s="1"/>
  <c r="B11" i="3"/>
  <c r="B11" i="17" s="1"/>
  <c r="B11" i="18" s="1"/>
  <c r="B12" i="3"/>
  <c r="B12" i="17" s="1"/>
  <c r="B12" i="18" s="1"/>
  <c r="B14" i="3"/>
  <c r="B13" i="17" s="1"/>
  <c r="B13" i="18" s="1"/>
  <c r="B15" i="3"/>
  <c r="B14" i="17" s="1"/>
  <c r="B14" i="18" s="1"/>
  <c r="B16" i="3"/>
  <c r="B15" i="17" s="1"/>
  <c r="B15" i="18" s="1"/>
  <c r="B16" i="17"/>
  <c r="B16" i="18" s="1"/>
  <c r="B18" i="3"/>
  <c r="B17" i="17" s="1"/>
  <c r="B17" i="18" s="1"/>
  <c r="B18" i="17"/>
  <c r="B18" i="18" s="1"/>
  <c r="B20" i="3"/>
  <c r="B19" i="17" s="1"/>
  <c r="B19" i="18" s="1"/>
  <c r="B64" i="3"/>
  <c r="B20" i="17" s="1"/>
  <c r="B20" i="18" s="1"/>
  <c r="B21" i="17"/>
  <c r="B21" i="18" s="1"/>
  <c r="S57" i="3" l="1"/>
  <c r="O48" i="17" s="1"/>
  <c r="N48" i="17"/>
  <c r="S66" i="3"/>
  <c r="O55" i="17" s="1"/>
  <c r="N55" i="17"/>
  <c r="S56" i="3"/>
  <c r="O47" i="17" s="1"/>
  <c r="N47" i="17"/>
  <c r="S48" i="3"/>
  <c r="O39" i="17" s="1"/>
  <c r="N39" i="17"/>
  <c r="S65" i="3"/>
  <c r="O54" i="17" s="1"/>
  <c r="N54" i="17"/>
  <c r="S55" i="3"/>
  <c r="O46" i="17" s="1"/>
  <c r="N46" i="17"/>
  <c r="S47" i="3"/>
  <c r="O38" i="17" s="1"/>
  <c r="N38" i="17"/>
  <c r="S62" i="3"/>
  <c r="O53" i="17" s="1"/>
  <c r="N53" i="17"/>
  <c r="S54" i="3"/>
  <c r="O45" i="17" s="1"/>
  <c r="N45" i="17"/>
  <c r="S61" i="3"/>
  <c r="O52" i="17" s="1"/>
  <c r="N52" i="17"/>
  <c r="S53" i="3"/>
  <c r="O44" i="17" s="1"/>
  <c r="N44" i="17"/>
  <c r="S49" i="3"/>
  <c r="O40" i="17" s="1"/>
  <c r="N40" i="17"/>
  <c r="S43" i="3"/>
  <c r="N37" i="17"/>
  <c r="S52" i="3"/>
  <c r="O43" i="17" s="1"/>
  <c r="N43" i="17"/>
  <c r="S59" i="3"/>
  <c r="O50" i="17" s="1"/>
  <c r="N50" i="17"/>
  <c r="S51" i="3"/>
  <c r="O42" i="17" s="1"/>
  <c r="N42" i="17"/>
  <c r="S58" i="3"/>
  <c r="O49" i="17" s="1"/>
  <c r="N49" i="17"/>
  <c r="S50" i="3"/>
  <c r="O41" i="17" s="1"/>
  <c r="N41" i="17"/>
  <c r="G36" i="3"/>
  <c r="K10" i="3"/>
  <c r="M10" i="3" s="1"/>
  <c r="O10" i="3" s="1"/>
  <c r="Q10" i="3" s="1"/>
  <c r="S10" i="3" s="1"/>
  <c r="I36" i="3"/>
  <c r="K44" i="3"/>
  <c r="M44" i="3" s="1"/>
  <c r="O44" i="3" s="1"/>
  <c r="Q44" i="3" s="1"/>
  <c r="S44" i="3" s="1"/>
  <c r="E36" i="3"/>
  <c r="F33" i="47"/>
  <c r="G41" i="3"/>
  <c r="S45" i="3"/>
  <c r="O28" i="17" s="1"/>
  <c r="I41" i="3"/>
  <c r="O21" i="17"/>
  <c r="I7" i="3"/>
  <c r="K11" i="47"/>
  <c r="F33" i="18"/>
  <c r="G68" i="3"/>
  <c r="E22" i="47"/>
  <c r="E23" i="47" s="1"/>
  <c r="E27" i="47" s="1"/>
  <c r="H18" i="17"/>
  <c r="H28" i="17"/>
  <c r="H21" i="17"/>
  <c r="H13" i="17"/>
  <c r="H33" i="17"/>
  <c r="H23" i="17"/>
  <c r="H20" i="17"/>
  <c r="H16" i="17"/>
  <c r="H12" i="17"/>
  <c r="H8" i="17"/>
  <c r="E68" i="3"/>
  <c r="H26" i="17"/>
  <c r="L24" i="17"/>
  <c r="H25" i="17"/>
  <c r="H22" i="17"/>
  <c r="H14" i="17"/>
  <c r="H10" i="17"/>
  <c r="H24" i="17"/>
  <c r="H17" i="17"/>
  <c r="H9" i="17"/>
  <c r="H27" i="17"/>
  <c r="H19" i="17"/>
  <c r="H15" i="17"/>
  <c r="H11" i="17"/>
  <c r="H29" i="17"/>
  <c r="F33" i="17"/>
  <c r="C68" i="3"/>
  <c r="F34" i="18"/>
  <c r="I68" i="3"/>
  <c r="J34" i="18"/>
  <c r="K17" i="17"/>
  <c r="J16" i="17"/>
  <c r="J12" i="17"/>
  <c r="J8" i="17"/>
  <c r="J22" i="17"/>
  <c r="H34" i="17"/>
  <c r="H34" i="18"/>
  <c r="J26" i="17"/>
  <c r="J17" i="17"/>
  <c r="J28" i="17"/>
  <c r="K13" i="17"/>
  <c r="K24" i="17"/>
  <c r="L9" i="17"/>
  <c r="L13" i="17"/>
  <c r="J19" i="17"/>
  <c r="J15" i="17"/>
  <c r="J11" i="17"/>
  <c r="J33" i="17"/>
  <c r="J33" i="18"/>
  <c r="J35" i="18" s="1"/>
  <c r="J25" i="17"/>
  <c r="J13" i="17"/>
  <c r="J24" i="17"/>
  <c r="K9" i="17"/>
  <c r="K21" i="17"/>
  <c r="N24" i="17"/>
  <c r="D32" i="17"/>
  <c r="J34" i="17"/>
  <c r="F32" i="18"/>
  <c r="F32" i="17"/>
  <c r="H32" i="17"/>
  <c r="H32" i="18"/>
  <c r="K27" i="18"/>
  <c r="J27" i="17"/>
  <c r="J18" i="17"/>
  <c r="J14" i="17"/>
  <c r="J10" i="17"/>
  <c r="K23" i="18"/>
  <c r="J23" i="17"/>
  <c r="K20" i="18"/>
  <c r="J20" i="17"/>
  <c r="D33" i="17"/>
  <c r="D33" i="18"/>
  <c r="J32" i="17"/>
  <c r="J29" i="17"/>
  <c r="J9" i="17"/>
  <c r="J21" i="17"/>
  <c r="L17" i="17"/>
  <c r="M24" i="17"/>
  <c r="D34" i="18"/>
  <c r="H33" i="18"/>
  <c r="J20" i="18"/>
  <c r="H26" i="18"/>
  <c r="K7" i="47"/>
  <c r="K32" i="47"/>
  <c r="K16" i="47"/>
  <c r="K22" i="47" s="1"/>
  <c r="G22" i="47"/>
  <c r="H33" i="47"/>
  <c r="J28" i="18"/>
  <c r="L28" i="18"/>
  <c r="H28" i="18"/>
  <c r="F28" i="18"/>
  <c r="J21" i="18"/>
  <c r="L21" i="18"/>
  <c r="H21" i="18"/>
  <c r="K21" i="18"/>
  <c r="F21" i="18"/>
  <c r="D21" i="18"/>
  <c r="M24" i="18"/>
  <c r="J24" i="18"/>
  <c r="N24" i="18"/>
  <c r="L24" i="18"/>
  <c r="H24" i="18"/>
  <c r="O24" i="18"/>
  <c r="K24" i="18"/>
  <c r="F24" i="18"/>
  <c r="D24" i="18"/>
  <c r="D28" i="18"/>
  <c r="H20" i="18"/>
  <c r="F20" i="18"/>
  <c r="H27" i="18"/>
  <c r="F27" i="18"/>
  <c r="J27" i="18"/>
  <c r="H23" i="18"/>
  <c r="F23" i="18"/>
  <c r="J23" i="18"/>
  <c r="D27" i="18"/>
  <c r="D20" i="18"/>
  <c r="D23" i="18"/>
  <c r="F26" i="18"/>
  <c r="J26" i="18"/>
  <c r="D26" i="18"/>
  <c r="K29" i="18"/>
  <c r="F29" i="18"/>
  <c r="J29" i="18"/>
  <c r="H29" i="18"/>
  <c r="F25" i="18"/>
  <c r="J25" i="18"/>
  <c r="H25" i="18"/>
  <c r="F22" i="18"/>
  <c r="J22" i="18"/>
  <c r="H22" i="18"/>
  <c r="D29" i="18"/>
  <c r="D25" i="18"/>
  <c r="D22" i="18"/>
  <c r="I73" i="3"/>
  <c r="C41" i="3"/>
  <c r="E41" i="3"/>
  <c r="S68" i="3" l="1"/>
  <c r="O37" i="17"/>
  <c r="K28" i="18"/>
  <c r="K26" i="17"/>
  <c r="K22" i="18"/>
  <c r="N28" i="18"/>
  <c r="L28" i="17"/>
  <c r="K28" i="17"/>
  <c r="M28" i="17"/>
  <c r="M28" i="18"/>
  <c r="O28" i="18"/>
  <c r="N28" i="17"/>
  <c r="N21" i="18"/>
  <c r="N21" i="17"/>
  <c r="M21" i="17"/>
  <c r="M17" i="17"/>
  <c r="L21" i="17"/>
  <c r="M21" i="18"/>
  <c r="M13" i="17"/>
  <c r="O21" i="18"/>
  <c r="K25" i="18"/>
  <c r="K36" i="3"/>
  <c r="K27" i="47"/>
  <c r="E33" i="47"/>
  <c r="K23" i="47"/>
  <c r="D35" i="18"/>
  <c r="L26" i="17"/>
  <c r="K26" i="18"/>
  <c r="D35" i="17"/>
  <c r="L32" i="17"/>
  <c r="L32" i="18"/>
  <c r="K34" i="18"/>
  <c r="K34" i="17"/>
  <c r="K10" i="17"/>
  <c r="K11" i="17"/>
  <c r="K29" i="17"/>
  <c r="F35" i="17"/>
  <c r="K32" i="17"/>
  <c r="K32" i="18"/>
  <c r="K20" i="17"/>
  <c r="K18" i="17"/>
  <c r="K25" i="17"/>
  <c r="K19" i="17"/>
  <c r="K22" i="17"/>
  <c r="K12" i="17"/>
  <c r="K33" i="17"/>
  <c r="K33" i="18"/>
  <c r="K68" i="3"/>
  <c r="J35" i="17"/>
  <c r="K23" i="17"/>
  <c r="K14" i="17"/>
  <c r="K27" i="17"/>
  <c r="F35" i="18"/>
  <c r="K15" i="17"/>
  <c r="K8" i="17"/>
  <c r="K16" i="17"/>
  <c r="K33" i="47"/>
  <c r="K41" i="3"/>
  <c r="L26" i="18" l="1"/>
  <c r="M34" i="17"/>
  <c r="M34" i="18"/>
  <c r="M16" i="17"/>
  <c r="L16" i="17"/>
  <c r="M15" i="17"/>
  <c r="L15" i="17"/>
  <c r="L27" i="17"/>
  <c r="L27" i="18"/>
  <c r="L23" i="17"/>
  <c r="L23" i="18"/>
  <c r="L22" i="17"/>
  <c r="L22" i="18"/>
  <c r="L25" i="17"/>
  <c r="L25" i="18"/>
  <c r="L20" i="17"/>
  <c r="L20" i="18"/>
  <c r="K35" i="18"/>
  <c r="M10" i="17"/>
  <c r="L10" i="17"/>
  <c r="L33" i="18"/>
  <c r="L33" i="17"/>
  <c r="M26" i="17"/>
  <c r="M26" i="18"/>
  <c r="M8" i="17"/>
  <c r="L8" i="17"/>
  <c r="M14" i="17"/>
  <c r="L14" i="17"/>
  <c r="K35" i="17"/>
  <c r="L29" i="17"/>
  <c r="L29" i="18"/>
  <c r="M11" i="17"/>
  <c r="L11" i="17"/>
  <c r="L34" i="18"/>
  <c r="L34" i="17"/>
  <c r="M32" i="17"/>
  <c r="M32" i="18"/>
  <c r="M12" i="17"/>
  <c r="L12" i="17"/>
  <c r="L19" i="17"/>
  <c r="M18" i="17"/>
  <c r="L18" i="17"/>
  <c r="M68" i="3"/>
  <c r="M41" i="3"/>
  <c r="L35" i="17" l="1"/>
  <c r="L35" i="18"/>
  <c r="N32" i="17"/>
  <c r="N32" i="18"/>
  <c r="M29" i="17"/>
  <c r="M29" i="18"/>
  <c r="M22" i="17"/>
  <c r="M22" i="18"/>
  <c r="M27" i="17"/>
  <c r="M27" i="18"/>
  <c r="M19" i="17"/>
  <c r="M25" i="17"/>
  <c r="M25" i="18"/>
  <c r="M23" i="17"/>
  <c r="M23" i="18"/>
  <c r="N34" i="18"/>
  <c r="N34" i="17"/>
  <c r="M20" i="17"/>
  <c r="M20" i="18"/>
  <c r="M33" i="18"/>
  <c r="M33" i="17"/>
  <c r="N26" i="17"/>
  <c r="N26" i="18"/>
  <c r="O41" i="3"/>
  <c r="M35" i="18" l="1"/>
  <c r="M35" i="17"/>
  <c r="N33" i="18"/>
  <c r="N33" i="17"/>
  <c r="O26" i="17"/>
  <c r="O26" i="18"/>
  <c r="N23" i="17"/>
  <c r="N23" i="18"/>
  <c r="N29" i="17"/>
  <c r="N29" i="18"/>
  <c r="O34" i="18"/>
  <c r="O34" i="17"/>
  <c r="O32" i="18"/>
  <c r="O32" i="17"/>
  <c r="O19" i="17"/>
  <c r="N19" i="17"/>
  <c r="N22" i="17"/>
  <c r="N22" i="18"/>
  <c r="N20" i="17"/>
  <c r="N20" i="18"/>
  <c r="N25" i="17"/>
  <c r="N25" i="18"/>
  <c r="N27" i="17"/>
  <c r="N27" i="18"/>
  <c r="E50" i="16"/>
  <c r="C50" i="16"/>
  <c r="N35" i="17" l="1"/>
  <c r="N35" i="18"/>
  <c r="O25" i="17"/>
  <c r="O25" i="18"/>
  <c r="S41" i="3"/>
  <c r="O33" i="17"/>
  <c r="O33" i="18"/>
  <c r="O27" i="17"/>
  <c r="O27" i="18"/>
  <c r="O23" i="17"/>
  <c r="O23" i="18"/>
  <c r="O22" i="17"/>
  <c r="O22" i="18"/>
  <c r="O29" i="17"/>
  <c r="O29" i="18"/>
  <c r="O20" i="17"/>
  <c r="O20" i="18"/>
  <c r="E83" i="16"/>
  <c r="C77" i="16"/>
  <c r="O35" i="17" l="1"/>
  <c r="O35" i="18"/>
  <c r="AA44" i="44"/>
  <c r="Z44" i="44"/>
  <c r="Y44" i="44"/>
  <c r="X44" i="44"/>
  <c r="W44" i="44"/>
  <c r="W45" i="44" s="1"/>
  <c r="V44" i="44"/>
  <c r="V45" i="44" s="1"/>
  <c r="AA40" i="44"/>
  <c r="Z40" i="44"/>
  <c r="Y40" i="44"/>
  <c r="X40" i="44"/>
  <c r="W40" i="44"/>
  <c r="V40" i="44"/>
  <c r="AA45" i="44" l="1"/>
  <c r="Y45" i="44"/>
  <c r="X45" i="44"/>
  <c r="Z45" i="44"/>
  <c r="Y27" i="46"/>
  <c r="L30" i="46" s="1"/>
  <c r="X27" i="46"/>
  <c r="L29" i="46" s="1"/>
  <c r="U27" i="46"/>
  <c r="K30" i="46" s="1"/>
  <c r="T27" i="46"/>
  <c r="K29" i="46" s="1"/>
  <c r="Q27" i="46"/>
  <c r="J30" i="46" s="1"/>
  <c r="P27" i="46"/>
  <c r="J29" i="46" s="1"/>
  <c r="M27" i="46"/>
  <c r="I30" i="46" s="1"/>
  <c r="L27" i="46"/>
  <c r="I29" i="46" s="1"/>
  <c r="I27" i="46"/>
  <c r="H30" i="46" s="1"/>
  <c r="L41" i="42"/>
  <c r="L34" i="42"/>
  <c r="L31" i="46" l="1"/>
  <c r="H31" i="46"/>
  <c r="I31" i="46"/>
  <c r="K31" i="46"/>
  <c r="J31" i="46"/>
  <c r="C6" i="23" l="1"/>
  <c r="L57" i="42" l="1"/>
  <c r="L47" i="42" l="1"/>
  <c r="I23" i="42"/>
  <c r="I15" i="42" s="1"/>
  <c r="K41" i="42"/>
  <c r="K34" i="42"/>
  <c r="F26" i="42"/>
  <c r="F18" i="42" s="1"/>
  <c r="G26" i="42"/>
  <c r="G18" i="42" s="1"/>
  <c r="H26" i="42"/>
  <c r="H18" i="42" s="1"/>
  <c r="I26" i="42"/>
  <c r="I18" i="42" s="1"/>
  <c r="E26" i="42"/>
  <c r="E18" i="42" s="1"/>
  <c r="F24" i="42"/>
  <c r="F16" i="42" s="1"/>
  <c r="G24" i="42"/>
  <c r="G16" i="42" s="1"/>
  <c r="H24" i="42"/>
  <c r="H16" i="42" s="1"/>
  <c r="I24" i="42"/>
  <c r="I16" i="42" s="1"/>
  <c r="E24" i="42"/>
  <c r="E16" i="42" s="1"/>
  <c r="E5" i="42" s="1"/>
  <c r="K88" i="3" s="1"/>
  <c r="K77" i="18" s="1"/>
  <c r="F23" i="42"/>
  <c r="F15" i="42" s="1"/>
  <c r="G23" i="42"/>
  <c r="G15" i="42" s="1"/>
  <c r="H23" i="42"/>
  <c r="H15" i="42" s="1"/>
  <c r="E23" i="42"/>
  <c r="E15" i="42" s="1"/>
  <c r="E4" i="42" s="1"/>
  <c r="K87" i="3" s="1"/>
  <c r="K76" i="18" s="1"/>
  <c r="G22" i="42"/>
  <c r="H22" i="42"/>
  <c r="F22" i="42"/>
  <c r="F58" i="42"/>
  <c r="G58" i="42"/>
  <c r="H58" i="42"/>
  <c r="I58" i="42"/>
  <c r="E58" i="42"/>
  <c r="K47" i="42"/>
  <c r="E49" i="42"/>
  <c r="F49" i="42"/>
  <c r="G49" i="42"/>
  <c r="H49" i="42"/>
  <c r="I49" i="42"/>
  <c r="E46" i="42"/>
  <c r="F46" i="42"/>
  <c r="G46" i="42"/>
  <c r="H46" i="42"/>
  <c r="I46" i="42"/>
  <c r="I40" i="42"/>
  <c r="H40" i="42"/>
  <c r="G40" i="42"/>
  <c r="F40" i="42"/>
  <c r="E40" i="42"/>
  <c r="K76" i="17" l="1"/>
  <c r="K77" i="17"/>
  <c r="F59" i="42"/>
  <c r="E19" i="42"/>
  <c r="E27" i="42"/>
  <c r="G14" i="42"/>
  <c r="G19" i="42" s="1"/>
  <c r="G27" i="42"/>
  <c r="F14" i="42"/>
  <c r="F19" i="42" s="1"/>
  <c r="F27" i="42"/>
  <c r="G59" i="42"/>
  <c r="H14" i="42"/>
  <c r="H19" i="42" s="1"/>
  <c r="H27" i="42"/>
  <c r="I14" i="42"/>
  <c r="I19" i="42" s="1"/>
  <c r="I27" i="42"/>
  <c r="H59" i="42"/>
  <c r="I59" i="42"/>
  <c r="I4" i="42"/>
  <c r="S87" i="3" s="1"/>
  <c r="O76" i="18" s="1"/>
  <c r="I7" i="42"/>
  <c r="S90" i="3" s="1"/>
  <c r="O79" i="18" s="1"/>
  <c r="E7" i="42"/>
  <c r="K90" i="3" s="1"/>
  <c r="K79" i="18" s="1"/>
  <c r="I5" i="42"/>
  <c r="S88" i="3" s="1"/>
  <c r="O77" i="18" s="1"/>
  <c r="G5" i="42"/>
  <c r="O88" i="3" s="1"/>
  <c r="M77" i="18" s="1"/>
  <c r="H5" i="42"/>
  <c r="Q88" i="3" s="1"/>
  <c r="N77" i="18" s="1"/>
  <c r="E3" i="42"/>
  <c r="K86" i="3" s="1"/>
  <c r="F4" i="42"/>
  <c r="M87" i="3" s="1"/>
  <c r="L77" i="18" s="1"/>
  <c r="G4" i="42"/>
  <c r="O87" i="3" s="1"/>
  <c r="M76" i="18" s="1"/>
  <c r="F5" i="42"/>
  <c r="M88" i="3" s="1"/>
  <c r="L78" i="18" s="1"/>
  <c r="H4" i="42"/>
  <c r="Q87" i="3" s="1"/>
  <c r="N76" i="18" s="1"/>
  <c r="W50" i="11"/>
  <c r="M50" i="11"/>
  <c r="C50" i="11"/>
  <c r="K75" i="17" l="1"/>
  <c r="K75" i="18"/>
  <c r="O79" i="17"/>
  <c r="M76" i="17"/>
  <c r="M77" i="17"/>
  <c r="O76" i="17"/>
  <c r="L77" i="17"/>
  <c r="N77" i="17"/>
  <c r="L76" i="17"/>
  <c r="O77" i="17"/>
  <c r="N76" i="17"/>
  <c r="K79" i="17"/>
  <c r="H3" i="42"/>
  <c r="K91" i="3"/>
  <c r="J81" i="17" s="1"/>
  <c r="E9" i="42"/>
  <c r="I3" i="42"/>
  <c r="G3" i="42"/>
  <c r="F3" i="42"/>
  <c r="K81" i="17" l="1"/>
  <c r="K80" i="18"/>
  <c r="O80" i="18"/>
  <c r="S86" i="3"/>
  <c r="O75" i="18" s="1"/>
  <c r="I9" i="42"/>
  <c r="M86" i="3"/>
  <c r="L76" i="18" s="1"/>
  <c r="O86" i="3"/>
  <c r="M75" i="18" s="1"/>
  <c r="Q86" i="3"/>
  <c r="N75" i="18" s="1"/>
  <c r="D50" i="16"/>
  <c r="F8" i="16"/>
  <c r="L80" i="18" l="1"/>
  <c r="L75" i="17"/>
  <c r="S91" i="3"/>
  <c r="O82" i="18"/>
  <c r="O75" i="17"/>
  <c r="O81" i="17" s="1"/>
  <c r="N75" i="17"/>
  <c r="M75" i="17"/>
  <c r="H35" i="17"/>
  <c r="E116" i="11"/>
  <c r="G72" i="2"/>
  <c r="G8" i="16"/>
  <c r="AQ50" i="11"/>
  <c r="D100" i="11"/>
  <c r="D99" i="11"/>
  <c r="D98" i="11"/>
  <c r="D97" i="11"/>
  <c r="G54" i="2" l="1"/>
  <c r="H35" i="18"/>
  <c r="H8" i="16"/>
  <c r="BD50" i="11"/>
  <c r="Z95" i="39"/>
  <c r="AA95" i="39"/>
  <c r="AB95" i="39"/>
  <c r="AC95" i="39"/>
  <c r="AD95" i="39"/>
  <c r="AE95" i="39"/>
  <c r="AF95" i="39"/>
  <c r="AG95" i="39"/>
  <c r="AH95" i="39"/>
  <c r="AI95" i="39"/>
  <c r="AJ95" i="39"/>
  <c r="AK95" i="39"/>
  <c r="AL95" i="39"/>
  <c r="AM95" i="39"/>
  <c r="AN95" i="39"/>
  <c r="AO95" i="39"/>
  <c r="J7" i="39"/>
  <c r="J9" i="39" s="1"/>
  <c r="J11" i="39" s="1"/>
  <c r="J13" i="39" s="1"/>
  <c r="J15" i="39" s="1"/>
  <c r="J17" i="39" s="1"/>
  <c r="J19" i="39" s="1"/>
  <c r="J21" i="39" s="1"/>
  <c r="J23" i="39" s="1"/>
  <c r="J25" i="39" s="1"/>
  <c r="J27" i="39" s="1"/>
  <c r="J29" i="39" s="1"/>
  <c r="J31" i="39" s="1"/>
  <c r="J33" i="39" s="1"/>
  <c r="J35" i="39" s="1"/>
  <c r="J37" i="39" s="1"/>
  <c r="J39" i="39" s="1"/>
  <c r="J41" i="39" s="1"/>
  <c r="J43" i="39" s="1"/>
  <c r="J45" i="39" s="1"/>
  <c r="J47" i="39" s="1"/>
  <c r="J49" i="39" s="1"/>
  <c r="J51" i="39" s="1"/>
  <c r="J53" i="39" s="1"/>
  <c r="J55" i="39" s="1"/>
  <c r="J57" i="39" s="1"/>
  <c r="J59" i="39" s="1"/>
  <c r="J61" i="39" s="1"/>
  <c r="J63" i="39" s="1"/>
  <c r="J65" i="39" s="1"/>
  <c r="J67" i="39" s="1"/>
  <c r="J69" i="39" s="1"/>
  <c r="J71" i="39" s="1"/>
  <c r="J73" i="39" s="1"/>
  <c r="J75" i="39" s="1"/>
  <c r="J77" i="39" s="1"/>
  <c r="J79" i="39" s="1"/>
  <c r="J81" i="39" s="1"/>
  <c r="J83" i="39" s="1"/>
  <c r="J85" i="39" s="1"/>
  <c r="N26" i="39"/>
  <c r="N27" i="39"/>
  <c r="N28" i="39"/>
  <c r="N29" i="39"/>
  <c r="N30" i="39"/>
  <c r="N31" i="39"/>
  <c r="N32" i="39"/>
  <c r="N33" i="39"/>
  <c r="N34" i="39"/>
  <c r="N35" i="39"/>
  <c r="N36" i="39"/>
  <c r="N37" i="39"/>
  <c r="N38" i="39"/>
  <c r="N39" i="39"/>
  <c r="N40" i="39"/>
  <c r="N41" i="39"/>
  <c r="N42" i="39"/>
  <c r="N43" i="39"/>
  <c r="N44" i="39"/>
  <c r="N45" i="39"/>
  <c r="O46" i="39" s="1"/>
  <c r="V96" i="39" s="1"/>
  <c r="N46" i="39"/>
  <c r="N47" i="39"/>
  <c r="N48" i="39"/>
  <c r="N49" i="39"/>
  <c r="N50" i="39"/>
  <c r="N51" i="39"/>
  <c r="N52" i="39"/>
  <c r="N53" i="39"/>
  <c r="N54" i="39"/>
  <c r="N55" i="39"/>
  <c r="N56" i="39"/>
  <c r="N57" i="39"/>
  <c r="N58" i="39"/>
  <c r="N59" i="39"/>
  <c r="N60" i="39"/>
  <c r="N61" i="39"/>
  <c r="O62" i="39" s="1"/>
  <c r="N62" i="39"/>
  <c r="N63" i="39"/>
  <c r="N64" i="39"/>
  <c r="N65" i="39"/>
  <c r="N66" i="39"/>
  <c r="N67" i="39"/>
  <c r="N68" i="39"/>
  <c r="N69" i="39"/>
  <c r="N70" i="39"/>
  <c r="N71" i="39"/>
  <c r="N72" i="39"/>
  <c r="N73" i="39"/>
  <c r="N74" i="39"/>
  <c r="N75" i="39"/>
  <c r="N76" i="39"/>
  <c r="N77" i="39"/>
  <c r="O78" i="39" s="1"/>
  <c r="N78" i="39"/>
  <c r="N79" i="39"/>
  <c r="N80" i="39"/>
  <c r="N81" i="39"/>
  <c r="N82" i="39"/>
  <c r="N83" i="39"/>
  <c r="N84" i="39"/>
  <c r="N25" i="39"/>
  <c r="O26" i="39" s="1"/>
  <c r="K27" i="38"/>
  <c r="K28" i="38"/>
  <c r="K29" i="38"/>
  <c r="K30" i="38"/>
  <c r="K31" i="38"/>
  <c r="K32" i="38"/>
  <c r="K33" i="38"/>
  <c r="K34" i="38"/>
  <c r="K35" i="38"/>
  <c r="K36" i="38"/>
  <c r="K37" i="38"/>
  <c r="K38" i="38"/>
  <c r="K39" i="38"/>
  <c r="K40" i="38"/>
  <c r="K41" i="38"/>
  <c r="K42" i="38"/>
  <c r="K43" i="38"/>
  <c r="K44" i="38"/>
  <c r="K45" i="38"/>
  <c r="K46" i="38"/>
  <c r="K47" i="38"/>
  <c r="K48" i="38"/>
  <c r="K49" i="38"/>
  <c r="K50" i="38"/>
  <c r="K51" i="38"/>
  <c r="K52" i="38"/>
  <c r="K53" i="38"/>
  <c r="K54" i="38"/>
  <c r="K55" i="38"/>
  <c r="K56" i="38"/>
  <c r="K57" i="38"/>
  <c r="K58" i="38"/>
  <c r="K59" i="38"/>
  <c r="K60" i="38"/>
  <c r="K61" i="38"/>
  <c r="K62" i="38"/>
  <c r="K63" i="38"/>
  <c r="K64" i="38"/>
  <c r="K65" i="38"/>
  <c r="K66" i="38"/>
  <c r="K67" i="38"/>
  <c r="K68" i="38"/>
  <c r="K69" i="38"/>
  <c r="K70" i="38"/>
  <c r="K71" i="38"/>
  <c r="K72" i="38"/>
  <c r="K73" i="38"/>
  <c r="K74" i="38"/>
  <c r="K75" i="38"/>
  <c r="K76" i="38"/>
  <c r="K77" i="38"/>
  <c r="K78" i="38"/>
  <c r="K79" i="38"/>
  <c r="K80" i="38"/>
  <c r="K81" i="38"/>
  <c r="K82" i="38"/>
  <c r="K83" i="38"/>
  <c r="K84" i="38"/>
  <c r="K26" i="38"/>
  <c r="D10" i="37"/>
  <c r="C10" i="16"/>
  <c r="E114" i="11" s="1"/>
  <c r="B7" i="16"/>
  <c r="B9" i="16" s="1"/>
  <c r="E113" i="11" s="1"/>
  <c r="C7" i="16"/>
  <c r="O28" i="39" l="1"/>
  <c r="O66" i="39"/>
  <c r="O34" i="39"/>
  <c r="P96" i="39" s="1"/>
  <c r="I25" i="26" s="1"/>
  <c r="O50" i="39"/>
  <c r="X96" i="39" s="1"/>
  <c r="O82" i="39"/>
  <c r="O30" i="39"/>
  <c r="N96" i="39" s="1"/>
  <c r="G25" i="26" s="1"/>
  <c r="O84" i="39"/>
  <c r="O80" i="39"/>
  <c r="O76" i="39"/>
  <c r="O72" i="39"/>
  <c r="O68" i="39"/>
  <c r="O64" i="39"/>
  <c r="O60" i="39"/>
  <c r="O56" i="39"/>
  <c r="O52" i="39"/>
  <c r="O48" i="39"/>
  <c r="W96" i="39" s="1"/>
  <c r="O44" i="39"/>
  <c r="U96" i="39" s="1"/>
  <c r="O40" i="39"/>
  <c r="S96" i="39" s="1"/>
  <c r="L25" i="26" s="1"/>
  <c r="O36" i="39"/>
  <c r="Q96" i="39" s="1"/>
  <c r="J25" i="26" s="1"/>
  <c r="O32" i="39"/>
  <c r="O96" i="39" s="1"/>
  <c r="H25" i="26" s="1"/>
  <c r="M96" i="39"/>
  <c r="F25" i="26" s="1"/>
  <c r="D10" i="16"/>
  <c r="O74" i="39"/>
  <c r="O70" i="39"/>
  <c r="O58" i="39"/>
  <c r="O54" i="39"/>
  <c r="O42" i="39"/>
  <c r="T96" i="39" s="1"/>
  <c r="M25" i="26" s="1"/>
  <c r="O38" i="39"/>
  <c r="R96" i="39" s="1"/>
  <c r="K25" i="26" s="1"/>
  <c r="D53" i="2"/>
  <c r="D54" i="2" s="1"/>
  <c r="L96" i="39"/>
  <c r="E25" i="26" s="1"/>
  <c r="I8" i="16"/>
  <c r="BO50" i="11"/>
  <c r="J8" i="16" l="1"/>
  <c r="CJ50" i="11" s="1"/>
  <c r="BY50" i="11"/>
  <c r="AV27" i="11" l="1"/>
  <c r="AV28" i="11"/>
  <c r="AT27" i="11"/>
  <c r="AT28" i="11"/>
  <c r="AW27" i="11" l="1"/>
  <c r="AW28" i="11"/>
  <c r="AZ27" i="11"/>
  <c r="BA27" i="11" s="1"/>
  <c r="AZ28" i="11"/>
  <c r="BA28" i="11" s="1"/>
  <c r="AF41" i="11" l="1"/>
  <c r="AF42" i="11"/>
  <c r="AF40" i="11"/>
  <c r="D9" i="16"/>
  <c r="F53" i="2" s="1"/>
  <c r="L6" i="23"/>
  <c r="E13" i="42"/>
  <c r="E2" i="42" s="1"/>
  <c r="F13" i="42"/>
  <c r="F2" i="42" s="1"/>
  <c r="G13" i="42"/>
  <c r="G2" i="42" s="1"/>
  <c r="H13" i="42"/>
  <c r="H2" i="42" s="1"/>
  <c r="I13" i="42"/>
  <c r="I2" i="42" s="1"/>
  <c r="D19" i="42"/>
  <c r="D8" i="42" s="1"/>
  <c r="F72" i="2" l="1"/>
  <c r="F54" i="2"/>
  <c r="E115" i="11"/>
  <c r="AF14" i="11"/>
  <c r="E59" i="42"/>
  <c r="D26" i="42" l="1"/>
  <c r="D18" i="42" s="1"/>
  <c r="D7" i="42" s="1"/>
  <c r="B90" i="3" s="1"/>
  <c r="D25" i="42"/>
  <c r="D17" i="42" s="1"/>
  <c r="D6" i="42" s="1"/>
  <c r="B89" i="3" s="1"/>
  <c r="D24" i="42"/>
  <c r="D16" i="42" s="1"/>
  <c r="D5" i="42" s="1"/>
  <c r="B88" i="3" s="1"/>
  <c r="D23" i="42"/>
  <c r="D15" i="42" s="1"/>
  <c r="D4" i="42" s="1"/>
  <c r="B87" i="3" s="1"/>
  <c r="D22" i="42"/>
  <c r="D14" i="42" s="1"/>
  <c r="D3" i="42" s="1"/>
  <c r="B86" i="3" s="1"/>
  <c r="L58" i="42"/>
  <c r="K49" i="42"/>
  <c r="K46" i="42"/>
  <c r="K40" i="42"/>
  <c r="B77" i="17" l="1"/>
  <c r="B77" i="18"/>
  <c r="B78" i="18"/>
  <c r="B78" i="17"/>
  <c r="B76" i="18"/>
  <c r="B76" i="17"/>
  <c r="B75" i="18"/>
  <c r="B75" i="17"/>
  <c r="B79" i="17"/>
  <c r="B79" i="18"/>
  <c r="K59" i="42"/>
  <c r="L49" i="42"/>
  <c r="L40" i="42"/>
  <c r="L46" i="42"/>
  <c r="L59" i="42" l="1"/>
  <c r="H7" i="42"/>
  <c r="G7" i="42"/>
  <c r="F7" i="42"/>
  <c r="F60" i="2"/>
  <c r="I85" i="11"/>
  <c r="O90" i="3" l="1"/>
  <c r="M79" i="18" s="1"/>
  <c r="G9" i="42"/>
  <c r="M90" i="3"/>
  <c r="F9" i="42"/>
  <c r="Q90" i="3"/>
  <c r="N79" i="18" s="1"/>
  <c r="H9" i="42"/>
  <c r="Q91" i="3" l="1"/>
  <c r="N79" i="17"/>
  <c r="N81" i="17" s="1"/>
  <c r="N80" i="18"/>
  <c r="M91" i="3"/>
  <c r="L79" i="17"/>
  <c r="L81" i="17" s="1"/>
  <c r="O91" i="3"/>
  <c r="M80" i="18"/>
  <c r="M79" i="17"/>
  <c r="M81" i="17" s="1"/>
  <c r="G76" i="3"/>
  <c r="G72" i="3"/>
  <c r="G71" i="3"/>
  <c r="G5" i="3"/>
  <c r="M36" i="3" l="1"/>
  <c r="G81" i="3"/>
  <c r="M7" i="3" l="1"/>
  <c r="O10" i="17"/>
  <c r="N10" i="17"/>
  <c r="O16" i="17"/>
  <c r="N16" i="17"/>
  <c r="O11" i="17"/>
  <c r="N11" i="17"/>
  <c r="O13" i="17"/>
  <c r="N13" i="17"/>
  <c r="O12" i="17"/>
  <c r="N12" i="17"/>
  <c r="O14" i="17"/>
  <c r="N14" i="17"/>
  <c r="O9" i="17"/>
  <c r="N9" i="17"/>
  <c r="O15" i="17"/>
  <c r="N15" i="17"/>
  <c r="O8" i="17"/>
  <c r="N8" i="17"/>
  <c r="O18" i="17"/>
  <c r="N18" i="17"/>
  <c r="N17" i="17"/>
  <c r="O68" i="3"/>
  <c r="O36" i="3"/>
  <c r="C9" i="16"/>
  <c r="E53" i="2" s="1"/>
  <c r="E54" i="2" s="1"/>
  <c r="D43" i="16"/>
  <c r="D83" i="16" s="1"/>
  <c r="O17" i="17" l="1"/>
  <c r="O7" i="3"/>
  <c r="Q68" i="3"/>
  <c r="Q36" i="3"/>
  <c r="E46" i="2"/>
  <c r="E47" i="2"/>
  <c r="E45" i="2"/>
  <c r="E44" i="2"/>
  <c r="E43" i="2"/>
  <c r="D47" i="2"/>
  <c r="D46" i="2"/>
  <c r="D45" i="2"/>
  <c r="D44" i="2"/>
  <c r="D43" i="2"/>
  <c r="C59" i="23"/>
  <c r="C80" i="23" s="1"/>
  <c r="D59" i="23"/>
  <c r="C60" i="23"/>
  <c r="C81" i="23" s="1"/>
  <c r="D60" i="23"/>
  <c r="C58" i="23"/>
  <c r="C79" i="23" s="1"/>
  <c r="D58" i="23"/>
  <c r="C56" i="23"/>
  <c r="C77" i="23" s="1"/>
  <c r="D56" i="23"/>
  <c r="B60" i="23"/>
  <c r="B81" i="23" s="1"/>
  <c r="B59" i="23"/>
  <c r="B80" i="23" s="1"/>
  <c r="B58" i="23"/>
  <c r="B79" i="23" s="1"/>
  <c r="B56" i="23"/>
  <c r="B77" i="23" s="1"/>
  <c r="C57" i="23"/>
  <c r="C78" i="23" s="1"/>
  <c r="D57" i="23"/>
  <c r="B57" i="23"/>
  <c r="B78" i="23" s="1"/>
  <c r="Q7" i="3" l="1"/>
  <c r="D78" i="23"/>
  <c r="F37" i="2"/>
  <c r="D79" i="23"/>
  <c r="F38" i="2"/>
  <c r="D80" i="23"/>
  <c r="F39" i="2"/>
  <c r="D77" i="23"/>
  <c r="F36" i="2"/>
  <c r="D81" i="23"/>
  <c r="F40" i="2"/>
  <c r="C82" i="23"/>
  <c r="B82" i="23"/>
  <c r="S36" i="3"/>
  <c r="D48" i="2"/>
  <c r="J38" i="23"/>
  <c r="X45" i="11" s="1"/>
  <c r="H38" i="23"/>
  <c r="N45" i="11" s="1"/>
  <c r="F13" i="23"/>
  <c r="F38" i="23"/>
  <c r="D45" i="11" s="1"/>
  <c r="J13" i="23"/>
  <c r="H13" i="23"/>
  <c r="H22" i="23"/>
  <c r="J22" i="23"/>
  <c r="F22" i="23"/>
  <c r="H31" i="23"/>
  <c r="J31" i="23"/>
  <c r="F31" i="23"/>
  <c r="C61" i="23"/>
  <c r="H5" i="23"/>
  <c r="E48" i="2"/>
  <c r="B61" i="23"/>
  <c r="D61" i="23"/>
  <c r="J5" i="23"/>
  <c r="C89" i="39"/>
  <c r="D89" i="39" s="1"/>
  <c r="E89" i="39" s="1"/>
  <c r="F89" i="39" s="1"/>
  <c r="G89" i="39" s="1"/>
  <c r="H89" i="39" s="1"/>
  <c r="I89" i="39" s="1"/>
  <c r="J89" i="39" s="1"/>
  <c r="K89" i="39" s="1"/>
  <c r="L89" i="39" s="1"/>
  <c r="M89" i="39" s="1"/>
  <c r="N89" i="39" s="1"/>
  <c r="O89" i="39" s="1"/>
  <c r="P89" i="39" s="1"/>
  <c r="Q89" i="39" s="1"/>
  <c r="R89" i="39" s="1"/>
  <c r="S89" i="39" s="1"/>
  <c r="T89" i="39" s="1"/>
  <c r="U89" i="39" s="1"/>
  <c r="V89" i="39" s="1"/>
  <c r="W89" i="39" s="1"/>
  <c r="X89" i="39" s="1"/>
  <c r="Y89" i="39" s="1"/>
  <c r="Z89" i="39" s="1"/>
  <c r="AA89" i="39" s="1"/>
  <c r="AB89" i="39" s="1"/>
  <c r="AC89" i="39" s="1"/>
  <c r="AD89" i="39" s="1"/>
  <c r="AE89" i="39" s="1"/>
  <c r="AF89" i="39" s="1"/>
  <c r="AG89" i="39" s="1"/>
  <c r="AH89" i="39" s="1"/>
  <c r="AI89" i="39" s="1"/>
  <c r="AJ89" i="39" s="1"/>
  <c r="AK89" i="39" s="1"/>
  <c r="AL89" i="39" s="1"/>
  <c r="AM89" i="39" s="1"/>
  <c r="AN89" i="39" s="1"/>
  <c r="AO89" i="39" s="1"/>
  <c r="AP89" i="39" s="1"/>
  <c r="F85" i="39"/>
  <c r="B7" i="39"/>
  <c r="B9" i="39" s="1"/>
  <c r="B11" i="39" s="1"/>
  <c r="B13" i="39" s="1"/>
  <c r="B15" i="39" s="1"/>
  <c r="B17" i="39" s="1"/>
  <c r="B19" i="39" s="1"/>
  <c r="B21" i="39" s="1"/>
  <c r="B23" i="39" s="1"/>
  <c r="B25" i="39" s="1"/>
  <c r="B27" i="39" s="1"/>
  <c r="B29" i="39" s="1"/>
  <c r="B31" i="39" s="1"/>
  <c r="B33" i="39" s="1"/>
  <c r="B35" i="39" s="1"/>
  <c r="B37" i="39" s="1"/>
  <c r="B39" i="39" s="1"/>
  <c r="B41" i="39" s="1"/>
  <c r="B43" i="39" s="1"/>
  <c r="B45" i="39" s="1"/>
  <c r="B47" i="39" s="1"/>
  <c r="B49" i="39" s="1"/>
  <c r="B51" i="39" s="1"/>
  <c r="B53" i="39" s="1"/>
  <c r="B55" i="39" s="1"/>
  <c r="B57" i="39" s="1"/>
  <c r="B59" i="39" s="1"/>
  <c r="B61" i="39" s="1"/>
  <c r="B63" i="39" s="1"/>
  <c r="B65" i="39" s="1"/>
  <c r="B67" i="39" s="1"/>
  <c r="B69" i="39" s="1"/>
  <c r="B71" i="39" s="1"/>
  <c r="B73" i="39" s="1"/>
  <c r="B75" i="39" s="1"/>
  <c r="B77" i="39" s="1"/>
  <c r="B79" i="39" s="1"/>
  <c r="B81" i="39" s="1"/>
  <c r="B83" i="39" s="1"/>
  <c r="B85" i="39" s="1"/>
  <c r="D6" i="39"/>
  <c r="D7" i="39" s="1"/>
  <c r="D8" i="39" s="1"/>
  <c r="D9" i="39" s="1"/>
  <c r="D10" i="39" s="1"/>
  <c r="D11" i="39" s="1"/>
  <c r="D12" i="39" s="1"/>
  <c r="D13" i="39" s="1"/>
  <c r="D14" i="39" s="1"/>
  <c r="D15" i="39" s="1"/>
  <c r="D16" i="39" s="1"/>
  <c r="D17" i="39" s="1"/>
  <c r="D18" i="39" s="1"/>
  <c r="D19" i="39" s="1"/>
  <c r="D20" i="39" s="1"/>
  <c r="D21" i="39" s="1"/>
  <c r="D22" i="39" s="1"/>
  <c r="D23" i="39" s="1"/>
  <c r="D24" i="39" s="1"/>
  <c r="B89" i="38"/>
  <c r="C89" i="38" s="1"/>
  <c r="D89" i="38" s="1"/>
  <c r="E89" i="38" s="1"/>
  <c r="F89" i="38" s="1"/>
  <c r="G89" i="38" s="1"/>
  <c r="H89" i="38" s="1"/>
  <c r="I89" i="38" s="1"/>
  <c r="J89" i="38" s="1"/>
  <c r="K89" i="38" s="1"/>
  <c r="L89" i="38" s="1"/>
  <c r="M89" i="38" s="1"/>
  <c r="N89" i="38" s="1"/>
  <c r="O89" i="38" s="1"/>
  <c r="P89" i="38" s="1"/>
  <c r="Q89" i="38" s="1"/>
  <c r="R89" i="38" s="1"/>
  <c r="S89" i="38" s="1"/>
  <c r="T89" i="38" s="1"/>
  <c r="U89" i="38" s="1"/>
  <c r="V89" i="38" s="1"/>
  <c r="W89" i="38" s="1"/>
  <c r="X89" i="38" s="1"/>
  <c r="Y89" i="38" s="1"/>
  <c r="Z89" i="38" s="1"/>
  <c r="AA89" i="38" s="1"/>
  <c r="AB89" i="38" s="1"/>
  <c r="AC89" i="38" s="1"/>
  <c r="AD89" i="38" s="1"/>
  <c r="AE89" i="38" s="1"/>
  <c r="AF89" i="38" s="1"/>
  <c r="AG89" i="38" s="1"/>
  <c r="AH89" i="38" s="1"/>
  <c r="AI89" i="38" s="1"/>
  <c r="AJ89" i="38" s="1"/>
  <c r="AK89" i="38" s="1"/>
  <c r="AL89" i="38" s="1"/>
  <c r="AM89" i="38" s="1"/>
  <c r="AN89" i="38" s="1"/>
  <c r="B89" i="37"/>
  <c r="C89" i="37" s="1"/>
  <c r="D89" i="37" s="1"/>
  <c r="E89" i="37" s="1"/>
  <c r="F89" i="37" s="1"/>
  <c r="G89" i="37" s="1"/>
  <c r="H89" i="37" s="1"/>
  <c r="I89" i="37" s="1"/>
  <c r="J89" i="37" s="1"/>
  <c r="K89" i="37" s="1"/>
  <c r="L89" i="37" s="1"/>
  <c r="M89" i="37" s="1"/>
  <c r="N89" i="37" s="1"/>
  <c r="O89" i="37" s="1"/>
  <c r="P89" i="37" s="1"/>
  <c r="Q89" i="37" s="1"/>
  <c r="R89" i="37" s="1"/>
  <c r="S89" i="37" s="1"/>
  <c r="T89" i="37" s="1"/>
  <c r="U89" i="37" s="1"/>
  <c r="V89" i="37" s="1"/>
  <c r="W89" i="37" s="1"/>
  <c r="X89" i="37" s="1"/>
  <c r="Y89" i="37" s="1"/>
  <c r="Z89" i="37" s="1"/>
  <c r="AA89" i="37" s="1"/>
  <c r="AB89" i="37" s="1"/>
  <c r="AC89" i="37" s="1"/>
  <c r="AD89" i="37" s="1"/>
  <c r="AE89" i="37" s="1"/>
  <c r="AF89" i="37" s="1"/>
  <c r="AG89" i="37" s="1"/>
  <c r="AH89" i="37" s="1"/>
  <c r="AI89" i="37" s="1"/>
  <c r="AJ89" i="37" s="1"/>
  <c r="AK89" i="37" s="1"/>
  <c r="AL89" i="37" s="1"/>
  <c r="AM89" i="37" s="1"/>
  <c r="AN89" i="37" s="1"/>
  <c r="AO89" i="37" s="1"/>
  <c r="C36" i="38"/>
  <c r="C37" i="38" s="1"/>
  <c r="C38" i="38" s="1"/>
  <c r="C39" i="38" s="1"/>
  <c r="C40" i="38" s="1"/>
  <c r="C41" i="38" s="1"/>
  <c r="C42" i="38" s="1"/>
  <c r="C43" i="38" s="1"/>
  <c r="C44" i="38" s="1"/>
  <c r="C45" i="38" s="1"/>
  <c r="C46" i="38" s="1"/>
  <c r="C47" i="38" s="1"/>
  <c r="C48" i="38" s="1"/>
  <c r="C49" i="38" s="1"/>
  <c r="C50" i="38" s="1"/>
  <c r="C51" i="38" s="1"/>
  <c r="C52" i="38" s="1"/>
  <c r="C53" i="38" s="1"/>
  <c r="C54" i="38" s="1"/>
  <c r="C55" i="38" s="1"/>
  <c r="C56" i="38" s="1"/>
  <c r="C57" i="38" s="1"/>
  <c r="C58" i="38" s="1"/>
  <c r="C59" i="38" s="1"/>
  <c r="C60" i="38" s="1"/>
  <c r="C61" i="38" s="1"/>
  <c r="C62" i="38" s="1"/>
  <c r="C63" i="38" s="1"/>
  <c r="C64" i="38" s="1"/>
  <c r="C65" i="38" s="1"/>
  <c r="C66" i="38" s="1"/>
  <c r="C67" i="38" s="1"/>
  <c r="C68" i="38" s="1"/>
  <c r="C69" i="38" s="1"/>
  <c r="C70" i="38" s="1"/>
  <c r="C71" i="38" s="1"/>
  <c r="C72" i="38" s="1"/>
  <c r="C73" i="38" s="1"/>
  <c r="C74" i="38" s="1"/>
  <c r="C75" i="38" s="1"/>
  <c r="C76" i="38" s="1"/>
  <c r="C77" i="38" s="1"/>
  <c r="C78" i="38" s="1"/>
  <c r="C79" i="38" s="1"/>
  <c r="C80" i="38" s="1"/>
  <c r="C81" i="38" s="1"/>
  <c r="C82" i="38" s="1"/>
  <c r="C83" i="38" s="1"/>
  <c r="C84" i="38" s="1"/>
  <c r="G21" i="38"/>
  <c r="F21" i="39" s="1"/>
  <c r="D14" i="38"/>
  <c r="D12" i="38"/>
  <c r="D10" i="38"/>
  <c r="D8" i="38"/>
  <c r="D6" i="38"/>
  <c r="C6" i="38"/>
  <c r="C7" i="38" s="1"/>
  <c r="C8" i="38" s="1"/>
  <c r="C9" i="38" s="1"/>
  <c r="C10" i="38" s="1"/>
  <c r="C11" i="38" s="1"/>
  <c r="C12" i="38" s="1"/>
  <c r="C13" i="38" s="1"/>
  <c r="C14" i="38" s="1"/>
  <c r="C15" i="38" s="1"/>
  <c r="C16" i="38" s="1"/>
  <c r="C17" i="38" s="1"/>
  <c r="C18" i="38" s="1"/>
  <c r="C19" i="38" s="1"/>
  <c r="C20" i="38" s="1"/>
  <c r="C21" i="38" s="1"/>
  <c r="C22" i="38" s="1"/>
  <c r="C23" i="38" s="1"/>
  <c r="C24" i="38" s="1"/>
  <c r="C25" i="38" s="1"/>
  <c r="C26" i="38" s="1"/>
  <c r="C27" i="38" s="1"/>
  <c r="C28" i="38" s="1"/>
  <c r="C29" i="38" s="1"/>
  <c r="C30" i="38" s="1"/>
  <c r="C31" i="38" s="1"/>
  <c r="C32" i="38" s="1"/>
  <c r="C33" i="38" s="1"/>
  <c r="C34" i="38" s="1"/>
  <c r="E5" i="38"/>
  <c r="C36" i="37"/>
  <c r="C37" i="37" s="1"/>
  <c r="C38" i="37" s="1"/>
  <c r="C39" i="37" s="1"/>
  <c r="C40" i="37" s="1"/>
  <c r="C41" i="37" s="1"/>
  <c r="C42" i="37" s="1"/>
  <c r="C43" i="37" s="1"/>
  <c r="C44" i="37" s="1"/>
  <c r="C45" i="37" s="1"/>
  <c r="C46" i="37" s="1"/>
  <c r="C47" i="37" s="1"/>
  <c r="C48" i="37" s="1"/>
  <c r="C49" i="37" s="1"/>
  <c r="C50" i="37" s="1"/>
  <c r="C51" i="37" s="1"/>
  <c r="C52" i="37" s="1"/>
  <c r="D20" i="37"/>
  <c r="D18" i="37"/>
  <c r="D16" i="37"/>
  <c r="D14" i="37"/>
  <c r="D12" i="37"/>
  <c r="G8" i="37"/>
  <c r="E8" i="39" s="1"/>
  <c r="G7" i="37"/>
  <c r="E7" i="39" s="1"/>
  <c r="G6" i="37"/>
  <c r="E6" i="39" s="1"/>
  <c r="C6" i="37"/>
  <c r="C7" i="37" s="1"/>
  <c r="C8" i="37" s="1"/>
  <c r="C9" i="37" s="1"/>
  <c r="C10" i="37" s="1"/>
  <c r="C11" i="37" s="1"/>
  <c r="C12" i="37" s="1"/>
  <c r="C13" i="37" s="1"/>
  <c r="C14" i="37" s="1"/>
  <c r="C15" i="37" s="1"/>
  <c r="C16" i="37" s="1"/>
  <c r="C17" i="37" s="1"/>
  <c r="C18" i="37" s="1"/>
  <c r="C19" i="37" s="1"/>
  <c r="C20" i="37" s="1"/>
  <c r="C21" i="37" s="1"/>
  <c r="C22" i="37" s="1"/>
  <c r="C23" i="37" s="1"/>
  <c r="C24" i="37" s="1"/>
  <c r="C25" i="37" s="1"/>
  <c r="C26" i="37" s="1"/>
  <c r="C27" i="37" s="1"/>
  <c r="C28" i="37" s="1"/>
  <c r="C29" i="37" s="1"/>
  <c r="C30" i="37" s="1"/>
  <c r="C31" i="37" s="1"/>
  <c r="C32" i="37" s="1"/>
  <c r="C33" i="37" s="1"/>
  <c r="C34" i="37" s="1"/>
  <c r="G5" i="37"/>
  <c r="E5" i="39" s="1"/>
  <c r="E5" i="37"/>
  <c r="E6" i="37" s="1"/>
  <c r="E7" i="37" s="1"/>
  <c r="E8" i="37" s="1"/>
  <c r="E9" i="37" s="1"/>
  <c r="F9" i="37" s="1"/>
  <c r="F41" i="2" l="1"/>
  <c r="F49" i="2" s="1"/>
  <c r="F69" i="2" s="1"/>
  <c r="D82" i="23"/>
  <c r="K5" i="39"/>
  <c r="F5" i="38"/>
  <c r="G5" i="38" s="1"/>
  <c r="G9" i="37"/>
  <c r="E9" i="39" s="1"/>
  <c r="E10" i="37"/>
  <c r="K7" i="39"/>
  <c r="H7" i="37"/>
  <c r="B91" i="37" s="1"/>
  <c r="D25" i="39"/>
  <c r="D26" i="39" s="1"/>
  <c r="D27" i="39" s="1"/>
  <c r="D28" i="39" s="1"/>
  <c r="D29" i="39" s="1"/>
  <c r="D30" i="39" s="1"/>
  <c r="D31" i="39" s="1"/>
  <c r="D32" i="39" s="1"/>
  <c r="D33" i="39" s="1"/>
  <c r="D34" i="39" s="1"/>
  <c r="D36" i="39"/>
  <c r="D37" i="39" s="1"/>
  <c r="D38" i="39" s="1"/>
  <c r="D39" i="39" s="1"/>
  <c r="D40" i="39" s="1"/>
  <c r="D41" i="39" s="1"/>
  <c r="D42" i="39" s="1"/>
  <c r="D43" i="39" s="1"/>
  <c r="D44" i="39" s="1"/>
  <c r="D45" i="39" s="1"/>
  <c r="D46" i="39" s="1"/>
  <c r="D47" i="39" s="1"/>
  <c r="D48" i="39" s="1"/>
  <c r="D49" i="39" s="1"/>
  <c r="D50" i="39" s="1"/>
  <c r="D51" i="39" s="1"/>
  <c r="D52" i="39" s="1"/>
  <c r="E6" i="38"/>
  <c r="F6" i="38" s="1"/>
  <c r="G6" i="38" s="1"/>
  <c r="H5" i="37"/>
  <c r="A91" i="37" s="1"/>
  <c r="C53" i="37"/>
  <c r="C54" i="37" s="1"/>
  <c r="C55" i="37" s="1"/>
  <c r="C56" i="37" s="1"/>
  <c r="C57" i="37" s="1"/>
  <c r="C58" i="37" s="1"/>
  <c r="C59" i="37" s="1"/>
  <c r="C60" i="37" s="1"/>
  <c r="C61" i="37" s="1"/>
  <c r="C62" i="37" s="1"/>
  <c r="C63" i="37" s="1"/>
  <c r="C64" i="37" s="1"/>
  <c r="C65" i="37" s="1"/>
  <c r="C66" i="37" s="1"/>
  <c r="C67" i="37" s="1"/>
  <c r="C68" i="37" s="1"/>
  <c r="C69" i="37" s="1"/>
  <c r="C70" i="37" s="1"/>
  <c r="C71" i="37" s="1"/>
  <c r="C72" i="37" s="1"/>
  <c r="C73" i="37" s="1"/>
  <c r="C74" i="37" s="1"/>
  <c r="C75" i="37" s="1"/>
  <c r="C76" i="37" s="1"/>
  <c r="C77" i="37" s="1"/>
  <c r="C78" i="37" s="1"/>
  <c r="C79" i="37" s="1"/>
  <c r="C80" i="37" s="1"/>
  <c r="C81" i="37" s="1"/>
  <c r="C82" i="37" s="1"/>
  <c r="C83" i="37" s="1"/>
  <c r="C84" i="37" s="1"/>
  <c r="C85" i="37" s="1"/>
  <c r="C86" i="37" s="1"/>
  <c r="E61" i="2"/>
  <c r="F61" i="2"/>
  <c r="D61" i="2"/>
  <c r="E11" i="37" l="1"/>
  <c r="F10" i="37"/>
  <c r="G10" i="37" s="1"/>
  <c r="H5" i="38"/>
  <c r="A91" i="38" s="1"/>
  <c r="F5" i="39"/>
  <c r="G5" i="39" s="1"/>
  <c r="F6" i="39"/>
  <c r="D53" i="39"/>
  <c r="D54" i="39" s="1"/>
  <c r="D55" i="39" s="1"/>
  <c r="D56" i="39" s="1"/>
  <c r="D57" i="39" s="1"/>
  <c r="D58" i="39" s="1"/>
  <c r="D59" i="39" s="1"/>
  <c r="D60" i="39" s="1"/>
  <c r="D61" i="39" s="1"/>
  <c r="D62" i="39" s="1"/>
  <c r="D63" i="39" s="1"/>
  <c r="D64" i="39" s="1"/>
  <c r="D65" i="39" s="1"/>
  <c r="D66" i="39" s="1"/>
  <c r="D67" i="39" s="1"/>
  <c r="D68" i="39" s="1"/>
  <c r="D69" i="39" s="1"/>
  <c r="D70" i="39" s="1"/>
  <c r="D71" i="39" s="1"/>
  <c r="D72" i="39" s="1"/>
  <c r="D73" i="39" s="1"/>
  <c r="D74" i="39" s="1"/>
  <c r="D75" i="39" s="1"/>
  <c r="D76" i="39" s="1"/>
  <c r="D77" i="39" s="1"/>
  <c r="D78" i="39" s="1"/>
  <c r="D79" i="39" s="1"/>
  <c r="D80" i="39" s="1"/>
  <c r="D81" i="39" s="1"/>
  <c r="D82" i="39" s="1"/>
  <c r="D83" i="39" s="1"/>
  <c r="D84" i="39" s="1"/>
  <c r="D85" i="39" s="1"/>
  <c r="D86" i="39" s="1"/>
  <c r="E7" i="38"/>
  <c r="F7" i="38" s="1"/>
  <c r="G7" i="38" s="1"/>
  <c r="F7" i="39" s="1"/>
  <c r="E60" i="2"/>
  <c r="E59" i="2"/>
  <c r="D60" i="2"/>
  <c r="D59" i="2"/>
  <c r="G6" i="39" l="1"/>
  <c r="L5" i="39"/>
  <c r="B95" i="39" s="1"/>
  <c r="G7" i="39"/>
  <c r="H9" i="37"/>
  <c r="C91" i="37" s="1"/>
  <c r="E10" i="39"/>
  <c r="K9" i="39" s="1"/>
  <c r="G45" i="2"/>
  <c r="E8" i="38"/>
  <c r="E9" i="38" s="1"/>
  <c r="D62" i="2"/>
  <c r="G43" i="2"/>
  <c r="G47" i="2"/>
  <c r="E59" i="23"/>
  <c r="E80" i="23" s="1"/>
  <c r="G46" i="2"/>
  <c r="E60" i="23"/>
  <c r="E81" i="23" s="1"/>
  <c r="E58" i="23"/>
  <c r="E79" i="23" s="1"/>
  <c r="E12" i="37"/>
  <c r="F11" i="37"/>
  <c r="G11" i="37" s="1"/>
  <c r="E11" i="39" s="1"/>
  <c r="E52" i="2"/>
  <c r="D52" i="2"/>
  <c r="E56" i="23" l="1"/>
  <c r="O5" i="23" s="1"/>
  <c r="O22" i="23"/>
  <c r="O31" i="23"/>
  <c r="H5" i="39"/>
  <c r="B91" i="39" s="1"/>
  <c r="O38" i="23"/>
  <c r="AI45" i="11" s="1"/>
  <c r="F8" i="38"/>
  <c r="G8" i="38" s="1"/>
  <c r="H7" i="38" s="1"/>
  <c r="B91" i="38" s="1"/>
  <c r="E57" i="23"/>
  <c r="E78" i="23" s="1"/>
  <c r="G44" i="2"/>
  <c r="G48" i="2" s="1"/>
  <c r="H47" i="2"/>
  <c r="H43" i="2"/>
  <c r="H45" i="2"/>
  <c r="H46" i="2"/>
  <c r="F60" i="23"/>
  <c r="F81" i="23" s="1"/>
  <c r="F56" i="23"/>
  <c r="F77" i="23" s="1"/>
  <c r="F59" i="23"/>
  <c r="F80" i="23" s="1"/>
  <c r="F58" i="23"/>
  <c r="F79" i="23" s="1"/>
  <c r="F9" i="38"/>
  <c r="G9" i="38" s="1"/>
  <c r="F9" i="39" s="1"/>
  <c r="E10" i="38"/>
  <c r="F12" i="37"/>
  <c r="G12" i="37" s="1"/>
  <c r="E13" i="37"/>
  <c r="E77" i="23" l="1"/>
  <c r="E82" i="23" s="1"/>
  <c r="O13" i="23"/>
  <c r="G9" i="39"/>
  <c r="F8" i="39"/>
  <c r="Q31" i="23"/>
  <c r="Q5" i="23"/>
  <c r="H11" i="37"/>
  <c r="D91" i="37" s="1"/>
  <c r="E12" i="39"/>
  <c r="K11" i="39" s="1"/>
  <c r="F57" i="23"/>
  <c r="F78" i="23" s="1"/>
  <c r="F82" i="23" s="1"/>
  <c r="H44" i="2"/>
  <c r="H48" i="2" s="1"/>
  <c r="E61" i="23"/>
  <c r="G59" i="23"/>
  <c r="G80" i="23" s="1"/>
  <c r="G58" i="23"/>
  <c r="G79" i="23" s="1"/>
  <c r="G60" i="23"/>
  <c r="G81" i="23" s="1"/>
  <c r="G56" i="23"/>
  <c r="G77" i="23" s="1"/>
  <c r="I45" i="2"/>
  <c r="I46" i="2"/>
  <c r="I47" i="2"/>
  <c r="I43" i="2"/>
  <c r="F10" i="38"/>
  <c r="G10" i="38" s="1"/>
  <c r="F10" i="39" s="1"/>
  <c r="G10" i="39" s="1"/>
  <c r="H9" i="39" s="1"/>
  <c r="D91" i="39" s="1"/>
  <c r="E11" i="38"/>
  <c r="E14" i="37"/>
  <c r="F13" i="37"/>
  <c r="G13" i="37" s="1"/>
  <c r="E13" i="39" s="1"/>
  <c r="C46" i="23"/>
  <c r="C67" i="23" s="1"/>
  <c r="S31" i="23" l="1"/>
  <c r="S38" i="23"/>
  <c r="Q13" i="23"/>
  <c r="G8" i="39"/>
  <c r="H7" i="39" s="1"/>
  <c r="C91" i="39" s="1"/>
  <c r="L7" i="39"/>
  <c r="C95" i="39" s="1"/>
  <c r="L9" i="39"/>
  <c r="D95" i="39" s="1"/>
  <c r="I5" i="23"/>
  <c r="Q38" i="23"/>
  <c r="S5" i="23"/>
  <c r="F61" i="23"/>
  <c r="I44" i="2"/>
  <c r="I48" i="2" s="1"/>
  <c r="H9" i="38"/>
  <c r="C91" i="38" s="1"/>
  <c r="G57" i="23"/>
  <c r="G78" i="23" s="1"/>
  <c r="G82" i="23" s="1"/>
  <c r="J47" i="2"/>
  <c r="J43" i="2"/>
  <c r="J45" i="2"/>
  <c r="J46" i="2"/>
  <c r="H60" i="23"/>
  <c r="H81" i="23" s="1"/>
  <c r="H56" i="23"/>
  <c r="H77" i="23" s="1"/>
  <c r="H59" i="23"/>
  <c r="H80" i="23" s="1"/>
  <c r="H58" i="23"/>
  <c r="H79" i="23" s="1"/>
  <c r="F11" i="38"/>
  <c r="G11" i="38" s="1"/>
  <c r="F11" i="39" s="1"/>
  <c r="E12" i="38"/>
  <c r="E15" i="37"/>
  <c r="F14" i="37"/>
  <c r="G14" i="37" s="1"/>
  <c r="C48" i="23"/>
  <c r="C69" i="23" s="1"/>
  <c r="C49" i="23"/>
  <c r="C70" i="23" s="1"/>
  <c r="C50" i="23"/>
  <c r="C71" i="23" s="1"/>
  <c r="C47" i="23"/>
  <c r="C68" i="23" s="1"/>
  <c r="C72" i="23" l="1"/>
  <c r="U31" i="23"/>
  <c r="U38" i="23"/>
  <c r="G61" i="23"/>
  <c r="G11" i="39"/>
  <c r="I22" i="23"/>
  <c r="I31" i="23"/>
  <c r="I13" i="23"/>
  <c r="I38" i="23"/>
  <c r="P45" i="11" s="1"/>
  <c r="H57" i="23"/>
  <c r="H78" i="23" s="1"/>
  <c r="H82" i="23" s="1"/>
  <c r="J44" i="2"/>
  <c r="J48" i="2" s="1"/>
  <c r="H13" i="37"/>
  <c r="E91" i="37" s="1"/>
  <c r="E14" i="39"/>
  <c r="K13" i="39" s="1"/>
  <c r="I59" i="23"/>
  <c r="I80" i="23" s="1"/>
  <c r="I58" i="23"/>
  <c r="I79" i="23" s="1"/>
  <c r="I60" i="23"/>
  <c r="I81" i="23" s="1"/>
  <c r="I56" i="23"/>
  <c r="I77" i="23" s="1"/>
  <c r="K45" i="2"/>
  <c r="K46" i="2"/>
  <c r="K47" i="2"/>
  <c r="K43" i="2"/>
  <c r="E13" i="38"/>
  <c r="E14" i="38" s="1"/>
  <c r="F12" i="38"/>
  <c r="G12" i="38" s="1"/>
  <c r="F12" i="39" s="1"/>
  <c r="G12" i="39" s="1"/>
  <c r="E16" i="37"/>
  <c r="F15" i="37"/>
  <c r="G15" i="37" s="1"/>
  <c r="E15" i="39" s="1"/>
  <c r="C51" i="23"/>
  <c r="O24" i="11"/>
  <c r="O25" i="11"/>
  <c r="O26" i="11"/>
  <c r="H11" i="39" l="1"/>
  <c r="E91" i="39" s="1"/>
  <c r="W31" i="23"/>
  <c r="W38" i="23"/>
  <c r="U13" i="23"/>
  <c r="L11" i="39"/>
  <c r="E95" i="39" s="1"/>
  <c r="U5" i="23"/>
  <c r="S13" i="23"/>
  <c r="H61" i="23"/>
  <c r="K44" i="2"/>
  <c r="K48" i="2" s="1"/>
  <c r="H11" i="38"/>
  <c r="D91" i="38" s="1"/>
  <c r="I57" i="23"/>
  <c r="I78" i="23" s="1"/>
  <c r="I82" i="23" s="1"/>
  <c r="L47" i="2"/>
  <c r="L43" i="2"/>
  <c r="L45" i="2"/>
  <c r="L46" i="2"/>
  <c r="J60" i="23"/>
  <c r="J81" i="23" s="1"/>
  <c r="J56" i="23"/>
  <c r="J77" i="23" s="1"/>
  <c r="J59" i="23"/>
  <c r="J80" i="23" s="1"/>
  <c r="J58" i="23"/>
  <c r="J79" i="23" s="1"/>
  <c r="F13" i="38"/>
  <c r="G13" i="38" s="1"/>
  <c r="F13" i="39" s="1"/>
  <c r="F16" i="37"/>
  <c r="G16" i="37" s="1"/>
  <c r="E17" i="37"/>
  <c r="BF32" i="11"/>
  <c r="BQ32" i="11" s="1"/>
  <c r="CB32" i="11" s="1"/>
  <c r="CM32" i="11" s="1"/>
  <c r="BF33" i="11"/>
  <c r="BQ33" i="11" s="1"/>
  <c r="CB33" i="11" s="1"/>
  <c r="CM33" i="11" s="1"/>
  <c r="BF34" i="11"/>
  <c r="BQ34" i="11" s="1"/>
  <c r="CB34" i="11" s="1"/>
  <c r="CM34" i="11" s="1"/>
  <c r="BC32" i="11"/>
  <c r="BN32" i="11" s="1"/>
  <c r="BY32" i="11" s="1"/>
  <c r="CJ32" i="11" s="1"/>
  <c r="BC33" i="11"/>
  <c r="BN33" i="11" s="1"/>
  <c r="BY33" i="11" s="1"/>
  <c r="CJ33" i="11" s="1"/>
  <c r="BC34" i="11"/>
  <c r="BN34" i="11" s="1"/>
  <c r="BY34" i="11" s="1"/>
  <c r="CJ34" i="11" s="1"/>
  <c r="BF24" i="11"/>
  <c r="BQ24" i="11" s="1"/>
  <c r="CB24" i="11" s="1"/>
  <c r="CM24" i="11" s="1"/>
  <c r="BF25" i="11"/>
  <c r="BQ25" i="11" s="1"/>
  <c r="CB25" i="11" s="1"/>
  <c r="CM25" i="11" s="1"/>
  <c r="BF26" i="11"/>
  <c r="BQ26" i="11" s="1"/>
  <c r="CB26" i="11" s="1"/>
  <c r="CM26" i="11" s="1"/>
  <c r="BC26" i="11"/>
  <c r="BN26" i="11" s="1"/>
  <c r="BY26" i="11" s="1"/>
  <c r="CJ26" i="11" s="1"/>
  <c r="BF15" i="11"/>
  <c r="BQ15" i="11" s="1"/>
  <c r="CB15" i="11" s="1"/>
  <c r="CM15" i="11" s="1"/>
  <c r="BF16" i="11"/>
  <c r="BQ16" i="11" s="1"/>
  <c r="CB16" i="11" s="1"/>
  <c r="CM16" i="11" s="1"/>
  <c r="BF17" i="11"/>
  <c r="BQ17" i="11" s="1"/>
  <c r="CB17" i="11" s="1"/>
  <c r="CM17" i="11" s="1"/>
  <c r="BF18" i="11"/>
  <c r="BQ18" i="11" s="1"/>
  <c r="CB18" i="11" s="1"/>
  <c r="CM18" i="11" s="1"/>
  <c r="BF19" i="11"/>
  <c r="BQ19" i="11" s="1"/>
  <c r="CB19" i="11" s="1"/>
  <c r="CM19" i="11" s="1"/>
  <c r="BC15" i="11"/>
  <c r="BN15" i="11" s="1"/>
  <c r="BY15" i="11" s="1"/>
  <c r="CJ15" i="11" s="1"/>
  <c r="BC16" i="11"/>
  <c r="BN16" i="11" s="1"/>
  <c r="BY16" i="11" s="1"/>
  <c r="CJ16" i="11" s="1"/>
  <c r="BC17" i="11"/>
  <c r="BN17" i="11" s="1"/>
  <c r="BY17" i="11" s="1"/>
  <c r="CJ17" i="11" s="1"/>
  <c r="BC18" i="11"/>
  <c r="BN18" i="11" s="1"/>
  <c r="BY18" i="11" s="1"/>
  <c r="CJ18" i="11" s="1"/>
  <c r="BC19" i="11"/>
  <c r="BN19" i="11" s="1"/>
  <c r="BY19" i="11" s="1"/>
  <c r="CJ19" i="11" s="1"/>
  <c r="AG15" i="11"/>
  <c r="AG16" i="11"/>
  <c r="AG18" i="11"/>
  <c r="Y26" i="11"/>
  <c r="AJ26" i="11" s="1"/>
  <c r="Y27" i="11"/>
  <c r="AJ27" i="11" s="1"/>
  <c r="W32" i="11"/>
  <c r="AH32" i="11" s="1"/>
  <c r="W33" i="11"/>
  <c r="AH33" i="11" s="1"/>
  <c r="W34" i="11"/>
  <c r="W35" i="11"/>
  <c r="W36" i="11"/>
  <c r="V32" i="11"/>
  <c r="AG32" i="11" s="1"/>
  <c r="V33" i="11"/>
  <c r="AG33" i="11" s="1"/>
  <c r="V34" i="11"/>
  <c r="AG34" i="11" s="1"/>
  <c r="V35" i="11"/>
  <c r="V36" i="11"/>
  <c r="W26" i="11"/>
  <c r="AH26" i="11" s="1"/>
  <c r="B27" i="12" s="1"/>
  <c r="B20" i="1" s="1"/>
  <c r="W27" i="11"/>
  <c r="AH27" i="11" s="1"/>
  <c r="W28" i="11"/>
  <c r="AH28" i="11" s="1"/>
  <c r="B29" i="12" s="1"/>
  <c r="B22" i="1" s="1"/>
  <c r="V24" i="11"/>
  <c r="AG24" i="11" s="1"/>
  <c r="V25" i="11"/>
  <c r="AG25" i="11" s="1"/>
  <c r="V26" i="11"/>
  <c r="AG26" i="11" s="1"/>
  <c r="V27" i="11"/>
  <c r="AG27" i="11" s="1"/>
  <c r="V28" i="11"/>
  <c r="AG28" i="11" s="1"/>
  <c r="W15" i="11"/>
  <c r="W16" i="11"/>
  <c r="AH16" i="11" s="1"/>
  <c r="W17" i="11"/>
  <c r="AH17" i="11" s="1"/>
  <c r="W18" i="11"/>
  <c r="AH18" i="11" s="1"/>
  <c r="W19" i="11"/>
  <c r="AH19" i="11" s="1"/>
  <c r="O32" i="11"/>
  <c r="Y32" i="11" s="1"/>
  <c r="AJ32" i="11" s="1"/>
  <c r="O33" i="11"/>
  <c r="Y33" i="11" s="1"/>
  <c r="AJ33" i="11" s="1"/>
  <c r="O34" i="11"/>
  <c r="Y34" i="11" s="1"/>
  <c r="AJ34" i="11" s="1"/>
  <c r="O35" i="11"/>
  <c r="Y35" i="11" s="1"/>
  <c r="AJ35" i="11" s="1"/>
  <c r="O36" i="11"/>
  <c r="Y36" i="11" s="1"/>
  <c r="AJ36" i="11" s="1"/>
  <c r="Y28" i="11"/>
  <c r="AJ28" i="11" s="1"/>
  <c r="O15" i="11"/>
  <c r="Y15" i="11" s="1"/>
  <c r="AJ15" i="11" s="1"/>
  <c r="O16" i="11"/>
  <c r="Y16" i="11" s="1"/>
  <c r="AJ16" i="11" s="1"/>
  <c r="O17" i="11"/>
  <c r="Y17" i="11" s="1"/>
  <c r="AJ17" i="11" s="1"/>
  <c r="O18" i="11"/>
  <c r="Y18" i="11" s="1"/>
  <c r="AJ18" i="11" s="1"/>
  <c r="O19" i="11"/>
  <c r="Y19" i="11" s="1"/>
  <c r="AJ19" i="11" s="1"/>
  <c r="B28" i="12" l="1"/>
  <c r="B21" i="1" s="1"/>
  <c r="F19" i="12"/>
  <c r="B19" i="12"/>
  <c r="B12" i="1" s="1"/>
  <c r="B34" i="12"/>
  <c r="B26" i="1" s="1"/>
  <c r="B18" i="12"/>
  <c r="B11" i="1" s="1"/>
  <c r="F18" i="12"/>
  <c r="AS19" i="11"/>
  <c r="F21" i="12" s="1"/>
  <c r="B21" i="12"/>
  <c r="B14" i="1" s="1"/>
  <c r="B20" i="12"/>
  <c r="B13" i="1" s="1"/>
  <c r="B35" i="12"/>
  <c r="B27" i="1" s="1"/>
  <c r="Y31" i="23"/>
  <c r="Y38" i="23"/>
  <c r="W13" i="23"/>
  <c r="G13" i="39"/>
  <c r="AH15" i="11"/>
  <c r="B17" i="12" s="1"/>
  <c r="B10" i="1" s="1"/>
  <c r="AS26" i="11"/>
  <c r="AH34" i="11"/>
  <c r="AH35" i="11"/>
  <c r="AH36" i="11"/>
  <c r="I61" i="23"/>
  <c r="W5" i="23"/>
  <c r="L44" i="2"/>
  <c r="L48" i="2" s="1"/>
  <c r="H15" i="37"/>
  <c r="F91" i="37" s="1"/>
  <c r="E16" i="39"/>
  <c r="K15" i="39" s="1"/>
  <c r="J57" i="23"/>
  <c r="J78" i="23" s="1"/>
  <c r="J82" i="23" s="1"/>
  <c r="F14" i="38"/>
  <c r="G14" i="38" s="1"/>
  <c r="F14" i="39" s="1"/>
  <c r="G14" i="39" s="1"/>
  <c r="E18" i="37"/>
  <c r="F17" i="37"/>
  <c r="G17" i="37" s="1"/>
  <c r="E17" i="39" s="1"/>
  <c r="H13" i="39" l="1"/>
  <c r="F91" i="39" s="1"/>
  <c r="B37" i="12"/>
  <c r="B29" i="1" s="1"/>
  <c r="BD19" i="11"/>
  <c r="I21" i="12" s="1"/>
  <c r="B38" i="12"/>
  <c r="B30" i="1" s="1"/>
  <c r="BD32" i="11"/>
  <c r="F34" i="12"/>
  <c r="AS34" i="11"/>
  <c r="B36" i="12"/>
  <c r="B28" i="1" s="1"/>
  <c r="BD18" i="11"/>
  <c r="F20" i="12"/>
  <c r="BD26" i="11"/>
  <c r="F27" i="12"/>
  <c r="D20" i="1" s="1"/>
  <c r="BD16" i="11"/>
  <c r="BD33" i="11"/>
  <c r="F35" i="12"/>
  <c r="BD17" i="11"/>
  <c r="BO19" i="11"/>
  <c r="L21" i="12" s="1"/>
  <c r="Y13" i="23"/>
  <c r="L13" i="39"/>
  <c r="F95" i="39" s="1"/>
  <c r="D11" i="1"/>
  <c r="D10" i="1"/>
  <c r="Y5" i="23"/>
  <c r="J61" i="23"/>
  <c r="H13" i="38"/>
  <c r="E91" i="38" s="1"/>
  <c r="E15" i="38"/>
  <c r="E19" i="37"/>
  <c r="F18" i="37"/>
  <c r="G18" i="37" s="1"/>
  <c r="F5" i="23"/>
  <c r="N27" i="23"/>
  <c r="N28" i="23"/>
  <c r="M24" i="23"/>
  <c r="M25" i="23"/>
  <c r="M26" i="23"/>
  <c r="M27" i="23"/>
  <c r="M28" i="23"/>
  <c r="M23" i="23"/>
  <c r="L24" i="23"/>
  <c r="AF32" i="11" s="1"/>
  <c r="L25" i="23"/>
  <c r="AF33" i="11" s="1"/>
  <c r="L26" i="23"/>
  <c r="AF34" i="11" s="1"/>
  <c r="L27" i="23"/>
  <c r="L28" i="23"/>
  <c r="L23" i="23"/>
  <c r="M15" i="23"/>
  <c r="M16" i="23"/>
  <c r="M17" i="23"/>
  <c r="M14" i="23"/>
  <c r="L17" i="23"/>
  <c r="AF26" i="11" s="1"/>
  <c r="L15" i="23"/>
  <c r="AF24" i="11" s="1"/>
  <c r="L16" i="23"/>
  <c r="AF25" i="11" s="1"/>
  <c r="L14" i="23"/>
  <c r="M7" i="23"/>
  <c r="M8" i="23"/>
  <c r="M9" i="23"/>
  <c r="M10" i="23"/>
  <c r="M11" i="23"/>
  <c r="M6" i="23"/>
  <c r="L7" i="23"/>
  <c r="AF15" i="11" s="1"/>
  <c r="L8" i="23"/>
  <c r="AF16" i="11" s="1"/>
  <c r="L9" i="23"/>
  <c r="AF17" i="11" s="1"/>
  <c r="L10" i="23"/>
  <c r="AF18" i="11" s="1"/>
  <c r="L11" i="23"/>
  <c r="AF19" i="11" s="1"/>
  <c r="AQ14" i="11"/>
  <c r="C9" i="1" s="1"/>
  <c r="E33" i="23"/>
  <c r="E34" i="23"/>
  <c r="E32" i="23"/>
  <c r="I32" i="23" s="1"/>
  <c r="D33" i="23"/>
  <c r="D34" i="23"/>
  <c r="D32" i="23"/>
  <c r="E24" i="23"/>
  <c r="I24" i="23" s="1"/>
  <c r="P32" i="11" s="1"/>
  <c r="E25" i="23"/>
  <c r="I25" i="23" s="1"/>
  <c r="P33" i="11" s="1"/>
  <c r="E26" i="23"/>
  <c r="I26" i="23" s="1"/>
  <c r="P34" i="11" s="1"/>
  <c r="E27" i="23"/>
  <c r="I27" i="23" s="1"/>
  <c r="P35" i="11" s="1"/>
  <c r="E28" i="23"/>
  <c r="I28" i="23" s="1"/>
  <c r="P36" i="11" s="1"/>
  <c r="E23" i="23"/>
  <c r="D24" i="23"/>
  <c r="D25" i="23"/>
  <c r="D26" i="23"/>
  <c r="D27" i="23"/>
  <c r="D28" i="23"/>
  <c r="O28" i="23" s="1"/>
  <c r="AI36" i="11" s="1"/>
  <c r="D23" i="23"/>
  <c r="C24" i="23"/>
  <c r="A32" i="11" s="1"/>
  <c r="C25" i="23"/>
  <c r="A33" i="11" s="1"/>
  <c r="C26" i="23"/>
  <c r="A34" i="11" s="1"/>
  <c r="C27" i="23"/>
  <c r="A35" i="11" s="1"/>
  <c r="C28" i="23"/>
  <c r="A36" i="11" s="1"/>
  <c r="C23" i="23"/>
  <c r="A31" i="11" s="1"/>
  <c r="E15" i="23"/>
  <c r="I15" i="23" s="1"/>
  <c r="P24" i="11" s="1"/>
  <c r="E16" i="23"/>
  <c r="I16" i="23" s="1"/>
  <c r="P25" i="11" s="1"/>
  <c r="E17" i="23"/>
  <c r="I17" i="23" s="1"/>
  <c r="P26" i="11" s="1"/>
  <c r="E18" i="23"/>
  <c r="I18" i="23" s="1"/>
  <c r="P27" i="11" s="1"/>
  <c r="E19" i="23"/>
  <c r="I19" i="23" s="1"/>
  <c r="P28" i="11" s="1"/>
  <c r="I14" i="23"/>
  <c r="D15" i="23"/>
  <c r="D16" i="23"/>
  <c r="D17" i="23"/>
  <c r="D18" i="23"/>
  <c r="D19" i="23"/>
  <c r="D14" i="23"/>
  <c r="C15" i="23"/>
  <c r="C16" i="23"/>
  <c r="C17" i="23"/>
  <c r="C18" i="23"/>
  <c r="C19" i="23"/>
  <c r="C14" i="23"/>
  <c r="I7" i="23"/>
  <c r="P15" i="11" s="1"/>
  <c r="I8" i="23"/>
  <c r="P16" i="11" s="1"/>
  <c r="I9" i="23"/>
  <c r="P17" i="11" s="1"/>
  <c r="I11" i="23"/>
  <c r="P19" i="11" s="1"/>
  <c r="D7" i="23"/>
  <c r="O7" i="23" s="1"/>
  <c r="D8" i="23"/>
  <c r="O8" i="23" s="1"/>
  <c r="D9" i="23"/>
  <c r="O9" i="23" s="1"/>
  <c r="D10" i="23"/>
  <c r="O10" i="23" s="1"/>
  <c r="D11" i="23"/>
  <c r="O11" i="23" s="1"/>
  <c r="D6" i="23"/>
  <c r="C7" i="23"/>
  <c r="A15" i="11" s="1"/>
  <c r="C8" i="23"/>
  <c r="A16" i="11" s="1"/>
  <c r="C9" i="23"/>
  <c r="A17" i="11" s="1"/>
  <c r="C10" i="23"/>
  <c r="A18" i="11" s="1"/>
  <c r="C11" i="23"/>
  <c r="A19" i="11" s="1"/>
  <c r="A14" i="11"/>
  <c r="BO17" i="11" l="1"/>
  <c r="I19" i="12"/>
  <c r="BO26" i="11"/>
  <c r="I27" i="12"/>
  <c r="E20" i="1" s="1"/>
  <c r="BD34" i="11"/>
  <c r="F36" i="12"/>
  <c r="D28" i="1" s="1"/>
  <c r="BO33" i="11"/>
  <c r="I35" i="12"/>
  <c r="I18" i="12"/>
  <c r="BO18" i="11"/>
  <c r="I20" i="12"/>
  <c r="E13" i="1" s="1"/>
  <c r="BO32" i="11"/>
  <c r="I34" i="12"/>
  <c r="BZ19" i="11"/>
  <c r="O21" i="12" s="1"/>
  <c r="F6" i="23"/>
  <c r="I6" i="23"/>
  <c r="E10" i="1"/>
  <c r="O32" i="23"/>
  <c r="AI40" i="11" s="1"/>
  <c r="O24" i="23"/>
  <c r="AI32" i="11" s="1"/>
  <c r="O34" i="23"/>
  <c r="AI42" i="11" s="1"/>
  <c r="O14" i="23"/>
  <c r="AI23" i="11" s="1"/>
  <c r="O33" i="23"/>
  <c r="AI41" i="11" s="1"/>
  <c r="AI18" i="11"/>
  <c r="AI17" i="11"/>
  <c r="O19" i="23"/>
  <c r="AI28" i="11" s="1"/>
  <c r="AF31" i="11"/>
  <c r="O23" i="23"/>
  <c r="AI31" i="11" s="1"/>
  <c r="AI15" i="11"/>
  <c r="O17" i="23"/>
  <c r="AI26" i="11" s="1"/>
  <c r="O16" i="23"/>
  <c r="AI25" i="11" s="1"/>
  <c r="O27" i="23"/>
  <c r="AI35" i="11" s="1"/>
  <c r="O6" i="23"/>
  <c r="AI14" i="11" s="1"/>
  <c r="O25" i="23"/>
  <c r="AI33" i="11" s="1"/>
  <c r="AF23" i="11"/>
  <c r="AI19" i="11"/>
  <c r="AI16" i="11"/>
  <c r="O18" i="23"/>
  <c r="AI27" i="11" s="1"/>
  <c r="O15" i="23"/>
  <c r="AI24" i="11" s="1"/>
  <c r="O26" i="23"/>
  <c r="AI34" i="11" s="1"/>
  <c r="D13" i="1"/>
  <c r="D26" i="1"/>
  <c r="D27" i="1"/>
  <c r="E11" i="1"/>
  <c r="Q14" i="23"/>
  <c r="AQ19" i="11"/>
  <c r="C14" i="1" s="1"/>
  <c r="AQ34" i="11"/>
  <c r="C28" i="1" s="1"/>
  <c r="AQ17" i="11"/>
  <c r="C12" i="1" s="1"/>
  <c r="AQ25" i="11"/>
  <c r="C19" i="1" s="1"/>
  <c r="AQ32" i="11"/>
  <c r="C26" i="1" s="1"/>
  <c r="AQ16" i="11"/>
  <c r="C11" i="1" s="1"/>
  <c r="AQ24" i="11"/>
  <c r="C18" i="1" s="1"/>
  <c r="AQ33" i="11"/>
  <c r="C27" i="1" s="1"/>
  <c r="AQ15" i="11"/>
  <c r="C10" i="1" s="1"/>
  <c r="AQ26" i="11"/>
  <c r="C20" i="1" s="1"/>
  <c r="AQ18" i="11"/>
  <c r="C13" i="1" s="1"/>
  <c r="I10" i="23"/>
  <c r="P18" i="11" s="1"/>
  <c r="S18" i="11" s="1"/>
  <c r="F23" i="23"/>
  <c r="F24" i="23" s="1"/>
  <c r="J23" i="23"/>
  <c r="J24" i="23" s="1"/>
  <c r="H23" i="23"/>
  <c r="H24" i="23" s="1"/>
  <c r="H32" i="23"/>
  <c r="J32" i="23"/>
  <c r="F32" i="23"/>
  <c r="J11" i="23"/>
  <c r="X19" i="11" s="1"/>
  <c r="H11" i="23"/>
  <c r="N19" i="11" s="1"/>
  <c r="Q19" i="11" s="1"/>
  <c r="J7" i="23"/>
  <c r="X15" i="11" s="1"/>
  <c r="H7" i="23"/>
  <c r="N15" i="11" s="1"/>
  <c r="Q15" i="11" s="1"/>
  <c r="H17" i="23"/>
  <c r="N26" i="11" s="1"/>
  <c r="Q26" i="11" s="1"/>
  <c r="J17" i="23"/>
  <c r="X26" i="11" s="1"/>
  <c r="F17" i="23"/>
  <c r="D26" i="11" s="1"/>
  <c r="J34" i="23"/>
  <c r="F34" i="23"/>
  <c r="H34" i="23"/>
  <c r="I33" i="23"/>
  <c r="H17" i="37"/>
  <c r="G91" i="37" s="1"/>
  <c r="E18" i="39"/>
  <c r="K17" i="39" s="1"/>
  <c r="J6" i="23"/>
  <c r="H6" i="23"/>
  <c r="J18" i="23"/>
  <c r="X27" i="11" s="1"/>
  <c r="F18" i="23"/>
  <c r="D27" i="11" s="1"/>
  <c r="H18" i="23"/>
  <c r="N27" i="11" s="1"/>
  <c r="Q27" i="11" s="1"/>
  <c r="I34" i="23"/>
  <c r="F10" i="23"/>
  <c r="D18" i="11" s="1"/>
  <c r="H10" i="23"/>
  <c r="N18" i="11" s="1"/>
  <c r="J10" i="23"/>
  <c r="X18" i="11" s="1"/>
  <c r="J14" i="23"/>
  <c r="F14" i="23"/>
  <c r="H14" i="23"/>
  <c r="J16" i="23"/>
  <c r="X25" i="11" s="1"/>
  <c r="F16" i="23"/>
  <c r="H16" i="23"/>
  <c r="N25" i="11" s="1"/>
  <c r="Q25" i="11" s="1"/>
  <c r="I23" i="23"/>
  <c r="F33" i="23"/>
  <c r="H33" i="23"/>
  <c r="J33" i="23"/>
  <c r="H8" i="23"/>
  <c r="N16" i="11" s="1"/>
  <c r="Q16" i="11" s="1"/>
  <c r="J8" i="23"/>
  <c r="X16" i="11" s="1"/>
  <c r="H9" i="23"/>
  <c r="N17" i="11" s="1"/>
  <c r="Q17" i="11" s="1"/>
  <c r="J9" i="23"/>
  <c r="X17" i="11" s="1"/>
  <c r="J19" i="23"/>
  <c r="X28" i="11" s="1"/>
  <c r="F19" i="23"/>
  <c r="D28" i="11" s="1"/>
  <c r="H19" i="23"/>
  <c r="N28" i="11" s="1"/>
  <c r="Q28" i="11" s="1"/>
  <c r="J15" i="23"/>
  <c r="X24" i="11" s="1"/>
  <c r="F15" i="23"/>
  <c r="H15" i="23"/>
  <c r="N24" i="11" s="1"/>
  <c r="Q24" i="11" s="1"/>
  <c r="F9" i="23"/>
  <c r="D17" i="11" s="1"/>
  <c r="F8" i="23"/>
  <c r="D16" i="11" s="1"/>
  <c r="F11" i="23"/>
  <c r="D19" i="11" s="1"/>
  <c r="F7" i="23"/>
  <c r="D15" i="11" s="1"/>
  <c r="A9" i="1"/>
  <c r="A11" i="1"/>
  <c r="S16" i="11"/>
  <c r="S27" i="11"/>
  <c r="T27" i="11" s="1"/>
  <c r="S33" i="11"/>
  <c r="T33" i="11" s="1"/>
  <c r="A14" i="1"/>
  <c r="A10" i="1"/>
  <c r="S19" i="11"/>
  <c r="S15" i="11"/>
  <c r="S26" i="11"/>
  <c r="T26" i="11" s="1"/>
  <c r="S36" i="11"/>
  <c r="T36" i="11" s="1"/>
  <c r="S32" i="11"/>
  <c r="T32" i="11" s="1"/>
  <c r="A13" i="1"/>
  <c r="S25" i="11"/>
  <c r="T25" i="11" s="1"/>
  <c r="S35" i="11"/>
  <c r="T35" i="11" s="1"/>
  <c r="A12" i="1"/>
  <c r="S17" i="11"/>
  <c r="S28" i="11"/>
  <c r="T28" i="11" s="1"/>
  <c r="S24" i="11"/>
  <c r="T24" i="11" s="1"/>
  <c r="S34" i="11"/>
  <c r="T34" i="11" s="1"/>
  <c r="F15" i="38"/>
  <c r="G15" i="38" s="1"/>
  <c r="F15" i="39" s="1"/>
  <c r="F19" i="37"/>
  <c r="G19" i="37" s="1"/>
  <c r="E19" i="39" s="1"/>
  <c r="E20" i="37"/>
  <c r="Q6" i="23"/>
  <c r="AT14" i="11" s="1"/>
  <c r="E68" i="2"/>
  <c r="D68" i="2"/>
  <c r="BZ18" i="11" l="1"/>
  <c r="L20" i="12"/>
  <c r="BZ33" i="11"/>
  <c r="L35" i="12"/>
  <c r="F27" i="1" s="1"/>
  <c r="BZ26" i="11"/>
  <c r="L27" i="12"/>
  <c r="F20" i="1" s="1"/>
  <c r="BZ32" i="11"/>
  <c r="L34" i="12"/>
  <c r="F26" i="1" s="1"/>
  <c r="BZ16" i="11"/>
  <c r="L18" i="12"/>
  <c r="BO34" i="11"/>
  <c r="I36" i="12"/>
  <c r="E28" i="1" s="1"/>
  <c r="BZ17" i="11"/>
  <c r="L19" i="12"/>
  <c r="CK19" i="11"/>
  <c r="E27" i="1"/>
  <c r="E26" i="1"/>
  <c r="F10" i="1"/>
  <c r="G15" i="39"/>
  <c r="F11" i="1"/>
  <c r="Q18" i="11"/>
  <c r="F13" i="1"/>
  <c r="J25" i="23"/>
  <c r="X32" i="11"/>
  <c r="F25" i="23"/>
  <c r="D32" i="11"/>
  <c r="H25" i="23"/>
  <c r="N32" i="11"/>
  <c r="Q32" i="11" s="1"/>
  <c r="A30" i="1"/>
  <c r="A22" i="1"/>
  <c r="A27" i="1"/>
  <c r="A19" i="1"/>
  <c r="A28" i="1"/>
  <c r="A20" i="1"/>
  <c r="A29" i="1"/>
  <c r="A21" i="1"/>
  <c r="A26" i="1"/>
  <c r="A18" i="1"/>
  <c r="A25" i="1"/>
  <c r="A17" i="1"/>
  <c r="E16" i="38"/>
  <c r="F16" i="38" s="1"/>
  <c r="G16" i="38" s="1"/>
  <c r="F20" i="37"/>
  <c r="G20" i="37" s="1"/>
  <c r="E21" i="37"/>
  <c r="R21" i="12" l="1"/>
  <c r="BZ34" i="11"/>
  <c r="L36" i="12"/>
  <c r="F28" i="1" s="1"/>
  <c r="CK32" i="11"/>
  <c r="R34" i="12" s="1"/>
  <c r="H26" i="1" s="1"/>
  <c r="O34" i="12"/>
  <c r="CK33" i="11"/>
  <c r="R35" i="12" s="1"/>
  <c r="H27" i="1" s="1"/>
  <c r="O35" i="12"/>
  <c r="CK17" i="11"/>
  <c r="R19" i="12" s="1"/>
  <c r="O19" i="12"/>
  <c r="CK16" i="11"/>
  <c r="R18" i="12" s="1"/>
  <c r="O18" i="12"/>
  <c r="G11" i="1" s="1"/>
  <c r="CK26" i="11"/>
  <c r="R27" i="12" s="1"/>
  <c r="O27" i="12"/>
  <c r="G20" i="1" s="1"/>
  <c r="CK18" i="11"/>
  <c r="R20" i="12" s="1"/>
  <c r="O20" i="12"/>
  <c r="G10" i="1"/>
  <c r="G26" i="1"/>
  <c r="G27" i="1"/>
  <c r="H19" i="37"/>
  <c r="H91" i="37" s="1"/>
  <c r="E20" i="39"/>
  <c r="K19" i="39" s="1"/>
  <c r="F26" i="23"/>
  <c r="D33" i="11"/>
  <c r="H15" i="38"/>
  <c r="F91" i="38" s="1"/>
  <c r="F16" i="39"/>
  <c r="H26" i="23"/>
  <c r="N33" i="11"/>
  <c r="Q33" i="11" s="1"/>
  <c r="J26" i="23"/>
  <c r="X33" i="11"/>
  <c r="E17" i="38"/>
  <c r="E22" i="37"/>
  <c r="F21" i="37"/>
  <c r="G21" i="37" s="1"/>
  <c r="E21" i="39" s="1"/>
  <c r="CK34" i="11" l="1"/>
  <c r="R36" i="12" s="1"/>
  <c r="H28" i="1" s="1"/>
  <c r="O36" i="12"/>
  <c r="G28" i="1" s="1"/>
  <c r="G13" i="1"/>
  <c r="G16" i="39"/>
  <c r="H15" i="39" s="1"/>
  <c r="G91" i="39" s="1"/>
  <c r="L15" i="39"/>
  <c r="G95" i="39" s="1"/>
  <c r="G21" i="39"/>
  <c r="H20" i="1"/>
  <c r="H10" i="1"/>
  <c r="H11" i="1"/>
  <c r="H13" i="1"/>
  <c r="J27" i="23"/>
  <c r="X34" i="11"/>
  <c r="D34" i="11"/>
  <c r="F27" i="23"/>
  <c r="H27" i="23"/>
  <c r="N34" i="11"/>
  <c r="Q34" i="11" s="1"/>
  <c r="F17" i="38"/>
  <c r="G17" i="38" s="1"/>
  <c r="F17" i="39" s="1"/>
  <c r="F22" i="37"/>
  <c r="G22" i="37" s="1"/>
  <c r="E23" i="37"/>
  <c r="C60" i="18"/>
  <c r="H60" i="18" s="1"/>
  <c r="C8" i="18"/>
  <c r="C9" i="18"/>
  <c r="C10" i="18"/>
  <c r="C11" i="18"/>
  <c r="C12" i="18"/>
  <c r="C13" i="18"/>
  <c r="C14" i="18"/>
  <c r="C15" i="18"/>
  <c r="C16" i="18"/>
  <c r="C17" i="18"/>
  <c r="C18" i="18"/>
  <c r="C19" i="18"/>
  <c r="C7" i="18"/>
  <c r="C5" i="18"/>
  <c r="J65" i="17"/>
  <c r="H65" i="17"/>
  <c r="B57" i="17"/>
  <c r="B36" i="17"/>
  <c r="B36" i="18" s="1"/>
  <c r="B30" i="17"/>
  <c r="B5" i="17"/>
  <c r="B5" i="18" s="1"/>
  <c r="G77" i="3"/>
  <c r="I77" i="3"/>
  <c r="I83" i="3" l="1"/>
  <c r="I84" i="3" s="1"/>
  <c r="N12" i="18"/>
  <c r="L12" i="18"/>
  <c r="O12" i="18"/>
  <c r="K12" i="18"/>
  <c r="F12" i="18"/>
  <c r="M12" i="18"/>
  <c r="J12" i="18"/>
  <c r="D12" i="18"/>
  <c r="N8" i="18"/>
  <c r="L8" i="18"/>
  <c r="O8" i="18"/>
  <c r="K8" i="18"/>
  <c r="F8" i="18"/>
  <c r="J8" i="18"/>
  <c r="M8" i="18"/>
  <c r="D8" i="18"/>
  <c r="O19" i="18"/>
  <c r="K19" i="18"/>
  <c r="F19" i="18"/>
  <c r="M19" i="18"/>
  <c r="J19" i="18"/>
  <c r="N19" i="18"/>
  <c r="L19" i="18"/>
  <c r="D19" i="18"/>
  <c r="O15" i="18"/>
  <c r="K15" i="18"/>
  <c r="F15" i="18"/>
  <c r="M15" i="18"/>
  <c r="J15" i="18"/>
  <c r="N15" i="18"/>
  <c r="L15" i="18"/>
  <c r="D15" i="18"/>
  <c r="O11" i="18"/>
  <c r="K11" i="18"/>
  <c r="F11" i="18"/>
  <c r="M11" i="18"/>
  <c r="J11" i="18"/>
  <c r="L11" i="18"/>
  <c r="D11" i="18"/>
  <c r="N11" i="18"/>
  <c r="M17" i="18"/>
  <c r="J17" i="18"/>
  <c r="N17" i="18"/>
  <c r="L17" i="18"/>
  <c r="O17" i="18"/>
  <c r="F17" i="18"/>
  <c r="K17" i="18"/>
  <c r="D17" i="18"/>
  <c r="M13" i="18"/>
  <c r="J13" i="18"/>
  <c r="N13" i="18"/>
  <c r="L13" i="18"/>
  <c r="K13" i="18"/>
  <c r="O13" i="18"/>
  <c r="D13" i="18"/>
  <c r="F13" i="18"/>
  <c r="M9" i="18"/>
  <c r="J9" i="18"/>
  <c r="N9" i="18"/>
  <c r="L9" i="18"/>
  <c r="K9" i="18"/>
  <c r="O9" i="18"/>
  <c r="F9" i="18"/>
  <c r="D9" i="18"/>
  <c r="N16" i="18"/>
  <c r="L16" i="18"/>
  <c r="O16" i="18"/>
  <c r="K16" i="18"/>
  <c r="F16" i="18"/>
  <c r="M16" i="18"/>
  <c r="D16" i="18"/>
  <c r="J16" i="18"/>
  <c r="O18" i="18"/>
  <c r="K18" i="18"/>
  <c r="F18" i="18"/>
  <c r="M18" i="18"/>
  <c r="J18" i="18"/>
  <c r="N18" i="18"/>
  <c r="L18" i="18"/>
  <c r="D18" i="18"/>
  <c r="O14" i="18"/>
  <c r="K14" i="18"/>
  <c r="F14" i="18"/>
  <c r="M14" i="18"/>
  <c r="J14" i="18"/>
  <c r="N14" i="18"/>
  <c r="L14" i="18"/>
  <c r="D14" i="18"/>
  <c r="O10" i="18"/>
  <c r="K10" i="18"/>
  <c r="F10" i="18"/>
  <c r="M10" i="18"/>
  <c r="J10" i="18"/>
  <c r="N10" i="18"/>
  <c r="L10" i="18"/>
  <c r="D10" i="18"/>
  <c r="G17" i="39"/>
  <c r="H18" i="18"/>
  <c r="H10" i="18"/>
  <c r="H11" i="18"/>
  <c r="H9" i="18"/>
  <c r="H19" i="18"/>
  <c r="H16" i="18"/>
  <c r="H8" i="18"/>
  <c r="H14" i="18"/>
  <c r="H15" i="18"/>
  <c r="D5" i="18"/>
  <c r="H5" i="18"/>
  <c r="H13" i="18"/>
  <c r="H17" i="18"/>
  <c r="H7" i="18"/>
  <c r="K7" i="18"/>
  <c r="M7" i="18"/>
  <c r="N7" i="18"/>
  <c r="H12" i="18"/>
  <c r="H21" i="37"/>
  <c r="I91" i="37" s="1"/>
  <c r="E22" i="39"/>
  <c r="K21" i="39" s="1"/>
  <c r="F28" i="23"/>
  <c r="D36" i="11" s="1"/>
  <c r="D35" i="11"/>
  <c r="H28" i="23"/>
  <c r="N36" i="11" s="1"/>
  <c r="Q36" i="11" s="1"/>
  <c r="N35" i="11"/>
  <c r="Q35" i="11" s="1"/>
  <c r="J28" i="23"/>
  <c r="X36" i="11" s="1"/>
  <c r="X35" i="11"/>
  <c r="E18" i="38"/>
  <c r="E24" i="37"/>
  <c r="F23" i="37"/>
  <c r="G23" i="37" s="1"/>
  <c r="E71" i="3"/>
  <c r="D70" i="17"/>
  <c r="B69" i="18"/>
  <c r="E5" i="3"/>
  <c r="C5" i="3"/>
  <c r="K30" i="18" l="1"/>
  <c r="H30" i="18"/>
  <c r="N30" i="18"/>
  <c r="M30" i="18"/>
  <c r="F5" i="18"/>
  <c r="E23" i="39"/>
  <c r="D5" i="17"/>
  <c r="F60" i="17"/>
  <c r="F60" i="18"/>
  <c r="F18" i="38"/>
  <c r="G18" i="38" s="1"/>
  <c r="F24" i="37"/>
  <c r="G24" i="37" s="1"/>
  <c r="H23" i="37" s="1"/>
  <c r="F5" i="17"/>
  <c r="H60" i="17"/>
  <c r="F70" i="17"/>
  <c r="E72" i="3"/>
  <c r="E76" i="3"/>
  <c r="C76" i="3"/>
  <c r="B76" i="3"/>
  <c r="B65" i="17" s="1"/>
  <c r="B65" i="18" s="1"/>
  <c r="D60" i="18"/>
  <c r="B72" i="3"/>
  <c r="B61" i="17" s="1"/>
  <c r="B61" i="18" s="1"/>
  <c r="B71" i="3"/>
  <c r="B60" i="17" s="1"/>
  <c r="B60" i="18" s="1"/>
  <c r="B41" i="17"/>
  <c r="B41" i="18" s="1"/>
  <c r="B42" i="17"/>
  <c r="B42" i="18" s="1"/>
  <c r="B43" i="17"/>
  <c r="B43" i="18" s="1"/>
  <c r="B44" i="17"/>
  <c r="B44" i="18" s="1"/>
  <c r="B45" i="17"/>
  <c r="B45" i="18" s="1"/>
  <c r="B46" i="17"/>
  <c r="B46" i="18" s="1"/>
  <c r="B47" i="17"/>
  <c r="B47" i="18" s="1"/>
  <c r="B48" i="17"/>
  <c r="B48" i="18" s="1"/>
  <c r="B49" i="17"/>
  <c r="B49" i="18" s="1"/>
  <c r="B50" i="17"/>
  <c r="B50" i="18" s="1"/>
  <c r="B51" i="17"/>
  <c r="B51" i="18" s="1"/>
  <c r="B52" i="17"/>
  <c r="B52" i="18" s="1"/>
  <c r="B53" i="17"/>
  <c r="B53" i="18" s="1"/>
  <c r="B54" i="17"/>
  <c r="B54" i="18" s="1"/>
  <c r="B55" i="17"/>
  <c r="B55" i="18" s="1"/>
  <c r="B56" i="17"/>
  <c r="B56" i="18" s="1"/>
  <c r="B38" i="17"/>
  <c r="B38" i="18" s="1"/>
  <c r="B39" i="17"/>
  <c r="B39" i="18" s="1"/>
  <c r="B40" i="17"/>
  <c r="B40" i="18" s="1"/>
  <c r="B37" i="17"/>
  <c r="B37" i="18" s="1"/>
  <c r="C8" i="3"/>
  <c r="C36" i="3" s="1"/>
  <c r="B7" i="17"/>
  <c r="B7" i="18" s="1"/>
  <c r="D7" i="17" l="1"/>
  <c r="D30" i="17" s="1"/>
  <c r="J5" i="17"/>
  <c r="J5" i="18"/>
  <c r="D53" i="17"/>
  <c r="D46" i="17"/>
  <c r="D42" i="17"/>
  <c r="D60" i="17"/>
  <c r="F7" i="18"/>
  <c r="F30" i="18" s="1"/>
  <c r="F7" i="17"/>
  <c r="F30" i="17" s="1"/>
  <c r="D52" i="17"/>
  <c r="D45" i="17"/>
  <c r="D41" i="17"/>
  <c r="D38" i="17"/>
  <c r="D61" i="17"/>
  <c r="J91" i="37"/>
  <c r="E24" i="39"/>
  <c r="K23" i="39" s="1"/>
  <c r="D49" i="17"/>
  <c r="D37" i="17"/>
  <c r="D55" i="17"/>
  <c r="D51" i="17"/>
  <c r="D48" i="17"/>
  <c r="D44" i="17"/>
  <c r="D40" i="17"/>
  <c r="H17" i="38"/>
  <c r="G91" i="38" s="1"/>
  <c r="F18" i="39"/>
  <c r="D7" i="18"/>
  <c r="D30" i="18" s="1"/>
  <c r="D56" i="17"/>
  <c r="D54" i="17"/>
  <c r="D50" i="17"/>
  <c r="D47" i="17"/>
  <c r="D43" i="17"/>
  <c r="D39" i="17"/>
  <c r="J60" i="17"/>
  <c r="J60" i="18"/>
  <c r="E25" i="37"/>
  <c r="F25" i="37" s="1"/>
  <c r="G25" i="37" s="1"/>
  <c r="E19" i="38"/>
  <c r="J70" i="17"/>
  <c r="F37" i="17"/>
  <c r="F55" i="17"/>
  <c r="F51" i="17"/>
  <c r="X57" i="3"/>
  <c r="F48" i="17"/>
  <c r="F44" i="17"/>
  <c r="F40" i="17"/>
  <c r="X19" i="3"/>
  <c r="F54" i="17"/>
  <c r="X59" i="3"/>
  <c r="F50" i="17"/>
  <c r="F47" i="17"/>
  <c r="F43" i="17"/>
  <c r="F39" i="17"/>
  <c r="D65" i="17"/>
  <c r="X67" i="3"/>
  <c r="F56" i="17"/>
  <c r="F53" i="17"/>
  <c r="F49" i="17"/>
  <c r="F46" i="17"/>
  <c r="F42" i="17"/>
  <c r="E77" i="3"/>
  <c r="X77" i="3" s="1"/>
  <c r="F65" i="17"/>
  <c r="H5" i="17"/>
  <c r="F61" i="17"/>
  <c r="X14" i="3"/>
  <c r="X8" i="3"/>
  <c r="X61" i="3"/>
  <c r="F52" i="17"/>
  <c r="F45" i="17"/>
  <c r="F41" i="17"/>
  <c r="F38" i="17"/>
  <c r="E73" i="3"/>
  <c r="K60" i="18"/>
  <c r="W55" i="3"/>
  <c r="W63" i="3"/>
  <c r="X63" i="3"/>
  <c r="W12" i="3"/>
  <c r="W62" i="3"/>
  <c r="W9" i="3"/>
  <c r="W8" i="3"/>
  <c r="W65" i="3"/>
  <c r="W59" i="3"/>
  <c r="W48" i="3"/>
  <c r="X15" i="3"/>
  <c r="C73" i="3"/>
  <c r="W52" i="3"/>
  <c r="W54" i="3"/>
  <c r="W47" i="3"/>
  <c r="W66" i="3"/>
  <c r="W60" i="3"/>
  <c r="W57" i="3"/>
  <c r="W53" i="3"/>
  <c r="W43" i="3"/>
  <c r="W11" i="3"/>
  <c r="W15" i="3"/>
  <c r="W10" i="3"/>
  <c r="X43" i="3"/>
  <c r="X58" i="3"/>
  <c r="X53" i="3"/>
  <c r="X48" i="3"/>
  <c r="C81" i="3"/>
  <c r="W76" i="3"/>
  <c r="W58" i="3"/>
  <c r="W14" i="3"/>
  <c r="C77" i="3"/>
  <c r="W67" i="3"/>
  <c r="W51" i="3"/>
  <c r="W19" i="3"/>
  <c r="E81" i="3"/>
  <c r="X76" i="3"/>
  <c r="W61" i="3"/>
  <c r="X60" i="3"/>
  <c r="X47" i="3"/>
  <c r="W50" i="3"/>
  <c r="X66" i="3"/>
  <c r="W56" i="3"/>
  <c r="X51" i="3"/>
  <c r="W49" i="3"/>
  <c r="X11" i="3"/>
  <c r="X9" i="3"/>
  <c r="X56" i="3"/>
  <c r="X55" i="3"/>
  <c r="C83" i="3" l="1"/>
  <c r="E83" i="3"/>
  <c r="D62" i="17"/>
  <c r="D57" i="17"/>
  <c r="E25" i="39"/>
  <c r="G18" i="39"/>
  <c r="H17" i="39" s="1"/>
  <c r="H91" i="39" s="1"/>
  <c r="L17" i="39"/>
  <c r="H95" i="39" s="1"/>
  <c r="K5" i="17"/>
  <c r="K5" i="18"/>
  <c r="J51" i="17"/>
  <c r="J49" i="17"/>
  <c r="J45" i="17"/>
  <c r="J38" i="17"/>
  <c r="J39" i="17"/>
  <c r="J55" i="17"/>
  <c r="J41" i="17"/>
  <c r="J56" i="17"/>
  <c r="J47" i="17"/>
  <c r="J44" i="17"/>
  <c r="J42" i="17"/>
  <c r="J46" i="17"/>
  <c r="W77" i="3"/>
  <c r="X54" i="3"/>
  <c r="X12" i="3"/>
  <c r="F19" i="38"/>
  <c r="G19" i="38" s="1"/>
  <c r="F19" i="39" s="1"/>
  <c r="E26" i="37"/>
  <c r="H41" i="17"/>
  <c r="H43" i="17"/>
  <c r="H54" i="17"/>
  <c r="H70" i="17"/>
  <c r="H53" i="17"/>
  <c r="H40" i="17"/>
  <c r="X49" i="3"/>
  <c r="X62" i="3"/>
  <c r="X65" i="3"/>
  <c r="X50" i="3"/>
  <c r="L60" i="18"/>
  <c r="K60" i="17"/>
  <c r="H38" i="17"/>
  <c r="H45" i="17"/>
  <c r="H52" i="17"/>
  <c r="H7" i="17"/>
  <c r="H30" i="17" s="1"/>
  <c r="H39" i="17"/>
  <c r="H47" i="17"/>
  <c r="F62" i="17"/>
  <c r="H50" i="17"/>
  <c r="X52" i="3"/>
  <c r="J7" i="17"/>
  <c r="H61" i="17"/>
  <c r="G73" i="3"/>
  <c r="G83" i="3" s="1"/>
  <c r="H46" i="17"/>
  <c r="H56" i="17"/>
  <c r="H48" i="17"/>
  <c r="H37" i="17"/>
  <c r="X10" i="3"/>
  <c r="H42" i="17"/>
  <c r="H49" i="17"/>
  <c r="H44" i="17"/>
  <c r="H51" i="17"/>
  <c r="H55" i="17"/>
  <c r="W81" i="3"/>
  <c r="X81" i="3"/>
  <c r="W68" i="3"/>
  <c r="J30" i="17" l="1"/>
  <c r="Q5" i="3"/>
  <c r="X68" i="3"/>
  <c r="G19" i="39"/>
  <c r="L5" i="17"/>
  <c r="L5" i="18"/>
  <c r="J7" i="18"/>
  <c r="J30" i="18" s="1"/>
  <c r="J53" i="17"/>
  <c r="J43" i="17"/>
  <c r="J54" i="17"/>
  <c r="J52" i="17"/>
  <c r="J50" i="17"/>
  <c r="J48" i="17"/>
  <c r="J40" i="17"/>
  <c r="K40" i="17"/>
  <c r="E20" i="38"/>
  <c r="F26" i="37"/>
  <c r="G26" i="37" s="1"/>
  <c r="H25" i="37" s="1"/>
  <c r="K37" i="17"/>
  <c r="K44" i="17"/>
  <c r="J61" i="17"/>
  <c r="K47" i="17"/>
  <c r="K49" i="17"/>
  <c r="K45" i="17"/>
  <c r="K55" i="17"/>
  <c r="K39" i="17"/>
  <c r="M60" i="18"/>
  <c r="L60" i="17"/>
  <c r="K7" i="17"/>
  <c r="K30" i="17" s="1"/>
  <c r="K41" i="17"/>
  <c r="H57" i="17"/>
  <c r="K56" i="17"/>
  <c r="K42" i="17"/>
  <c r="K54" i="17"/>
  <c r="K38" i="17"/>
  <c r="K51" i="17"/>
  <c r="K46" i="17"/>
  <c r="L70" i="17"/>
  <c r="J37" i="17"/>
  <c r="H62" i="17"/>
  <c r="L7" i="18"/>
  <c r="L30" i="18" s="1"/>
  <c r="S5" i="3" l="1"/>
  <c r="M5" i="18"/>
  <c r="K43" i="17"/>
  <c r="K50" i="17"/>
  <c r="K52" i="17"/>
  <c r="K91" i="37"/>
  <c r="E26" i="39"/>
  <c r="K25" i="39" s="1"/>
  <c r="L50" i="17"/>
  <c r="F20" i="38"/>
  <c r="G20" i="38" s="1"/>
  <c r="E27" i="37"/>
  <c r="L37" i="17"/>
  <c r="L42" i="17"/>
  <c r="L49" i="17"/>
  <c r="N60" i="18"/>
  <c r="M60" i="17"/>
  <c r="L39" i="17"/>
  <c r="L45" i="17"/>
  <c r="L38" i="17"/>
  <c r="K48" i="17"/>
  <c r="J62" i="17"/>
  <c r="K53" i="17"/>
  <c r="L55" i="17"/>
  <c r="K61" i="17"/>
  <c r="K73" i="3"/>
  <c r="L54" i="17"/>
  <c r="L47" i="17"/>
  <c r="L40" i="17"/>
  <c r="M5" i="17"/>
  <c r="L7" i="17"/>
  <c r="L30" i="17" s="1"/>
  <c r="J57" i="17"/>
  <c r="M70" i="17"/>
  <c r="L46" i="17"/>
  <c r="L51" i="17"/>
  <c r="L56" i="17"/>
  <c r="L41" i="17"/>
  <c r="L52" i="17"/>
  <c r="L44" i="17"/>
  <c r="L43" i="17"/>
  <c r="M81" i="3"/>
  <c r="N5" i="17" l="1"/>
  <c r="N5" i="18"/>
  <c r="H19" i="38"/>
  <c r="F20" i="39"/>
  <c r="E21" i="38"/>
  <c r="E22" i="38" s="1"/>
  <c r="F27" i="37"/>
  <c r="G27" i="37" s="1"/>
  <c r="K62" i="17"/>
  <c r="M49" i="17"/>
  <c r="M54" i="17"/>
  <c r="L61" i="17"/>
  <c r="M73" i="3"/>
  <c r="M38" i="17"/>
  <c r="M39" i="17"/>
  <c r="M44" i="17"/>
  <c r="M52" i="17"/>
  <c r="M41" i="17"/>
  <c r="M51" i="17"/>
  <c r="L48" i="17"/>
  <c r="M45" i="17"/>
  <c r="O60" i="18"/>
  <c r="N60" i="17"/>
  <c r="M42" i="17"/>
  <c r="M40" i="17"/>
  <c r="M55" i="17"/>
  <c r="M50" i="17"/>
  <c r="M7" i="17"/>
  <c r="M30" i="17" s="1"/>
  <c r="M43" i="17"/>
  <c r="M46" i="17"/>
  <c r="M56" i="17"/>
  <c r="N70" i="17"/>
  <c r="O70" i="17"/>
  <c r="M47" i="17"/>
  <c r="L53" i="17"/>
  <c r="M37" i="17"/>
  <c r="O81" i="3"/>
  <c r="C43" i="16"/>
  <c r="C83" i="16" s="1"/>
  <c r="B43" i="16"/>
  <c r="B83" i="16" s="1"/>
  <c r="E27" i="39" l="1"/>
  <c r="G20" i="39"/>
  <c r="H19" i="39" s="1"/>
  <c r="I91" i="39" s="1"/>
  <c r="L19" i="39"/>
  <c r="I95" i="39" s="1"/>
  <c r="O5" i="17"/>
  <c r="O5" i="18"/>
  <c r="I91" i="38"/>
  <c r="H91" i="38"/>
  <c r="F22" i="38"/>
  <c r="G22" i="38" s="1"/>
  <c r="E28" i="37"/>
  <c r="L62" i="17"/>
  <c r="M61" i="17"/>
  <c r="O73" i="3"/>
  <c r="M53" i="17"/>
  <c r="N7" i="17"/>
  <c r="N30" i="17" s="1"/>
  <c r="O60" i="17"/>
  <c r="M48" i="17"/>
  <c r="O7" i="18"/>
  <c r="O30" i="18" s="1"/>
  <c r="W72" i="3"/>
  <c r="X72" i="3"/>
  <c r="Q81" i="3"/>
  <c r="H21" i="38" l="1"/>
  <c r="J91" i="38" s="1"/>
  <c r="F22" i="39"/>
  <c r="E23" i="38"/>
  <c r="F23" i="38" s="1"/>
  <c r="G23" i="38" s="1"/>
  <c r="F23" i="39" s="1"/>
  <c r="F28" i="37"/>
  <c r="G28" i="37" s="1"/>
  <c r="H27" i="37" s="1"/>
  <c r="O7" i="17"/>
  <c r="O30" i="17" s="1"/>
  <c r="M62" i="17"/>
  <c r="N61" i="17"/>
  <c r="Q73" i="3"/>
  <c r="X73" i="3"/>
  <c r="W73" i="3"/>
  <c r="S81" i="3"/>
  <c r="G23" i="39" l="1"/>
  <c r="G22" i="39"/>
  <c r="H21" i="39" s="1"/>
  <c r="J91" i="39" s="1"/>
  <c r="L21" i="39"/>
  <c r="J95" i="39" s="1"/>
  <c r="L91" i="37"/>
  <c r="E28" i="39"/>
  <c r="K27" i="39" s="1"/>
  <c r="E24" i="38"/>
  <c r="E29" i="37"/>
  <c r="O61" i="17"/>
  <c r="O62" i="17" s="1"/>
  <c r="S73" i="3"/>
  <c r="N62" i="17"/>
  <c r="H60" i="2"/>
  <c r="I60" i="2"/>
  <c r="J60" i="2"/>
  <c r="K60" i="2"/>
  <c r="L60" i="2"/>
  <c r="G60" i="2"/>
  <c r="F24" i="38" l="1"/>
  <c r="G24" i="38" s="1"/>
  <c r="F29" i="37"/>
  <c r="G29" i="37" s="1"/>
  <c r="E29" i="39" s="1"/>
  <c r="E30" i="37" l="1"/>
  <c r="E25" i="38"/>
  <c r="F25" i="38" s="1"/>
  <c r="G25" i="38" s="1"/>
  <c r="F25" i="39" s="1"/>
  <c r="H23" i="38"/>
  <c r="K91" i="38" s="1"/>
  <c r="F24" i="39"/>
  <c r="F30" i="37"/>
  <c r="G30" i="37" s="1"/>
  <c r="G24" i="39" l="1"/>
  <c r="H23" i="39" s="1"/>
  <c r="K91" i="39" s="1"/>
  <c r="L23" i="39"/>
  <c r="K95" i="39" s="1"/>
  <c r="G25" i="39"/>
  <c r="E31" i="37"/>
  <c r="F31" i="37" s="1"/>
  <c r="G31" i="37" s="1"/>
  <c r="E31" i="39" s="1"/>
  <c r="H29" i="37"/>
  <c r="M91" i="37" s="1"/>
  <c r="E30" i="39"/>
  <c r="K29" i="39" s="1"/>
  <c r="E26" i="38"/>
  <c r="E32" i="37" l="1"/>
  <c r="F26" i="38"/>
  <c r="G26" i="38" s="1"/>
  <c r="F32" i="37" l="1"/>
  <c r="G32" i="37" s="1"/>
  <c r="H31" i="37" s="1"/>
  <c r="N91" i="37" s="1"/>
  <c r="H25" i="38"/>
  <c r="L91" i="38" s="1"/>
  <c r="F26" i="39"/>
  <c r="E27" i="38"/>
  <c r="F27" i="38" s="1"/>
  <c r="G27" i="38" s="1"/>
  <c r="F27" i="39" s="1"/>
  <c r="AQ31" i="11"/>
  <c r="C25" i="1" s="1"/>
  <c r="I95" i="11"/>
  <c r="I96" i="11"/>
  <c r="AQ23" i="11"/>
  <c r="C17" i="1" s="1"/>
  <c r="G27" i="39" l="1"/>
  <c r="G26" i="39"/>
  <c r="H25" i="39" s="1"/>
  <c r="L25" i="39"/>
  <c r="L95" i="39" s="1"/>
  <c r="E26" i="26" s="1"/>
  <c r="E27" i="26" s="1"/>
  <c r="E29" i="26" s="1"/>
  <c r="E32" i="39"/>
  <c r="K31" i="39" s="1"/>
  <c r="E33" i="37"/>
  <c r="F33" i="37" s="1"/>
  <c r="G33" i="37" s="1"/>
  <c r="E33" i="39" s="1"/>
  <c r="E28" i="38"/>
  <c r="L91" i="39" l="1"/>
  <c r="C95" i="3" s="1"/>
  <c r="E34" i="37"/>
  <c r="F34" i="37" s="1"/>
  <c r="G34" i="37" s="1"/>
  <c r="F28" i="38"/>
  <c r="G28" i="38" s="1"/>
  <c r="H27" i="38" l="1"/>
  <c r="M91" i="38" s="1"/>
  <c r="F28" i="39"/>
  <c r="H33" i="37"/>
  <c r="O91" i="37" s="1"/>
  <c r="E34" i="39"/>
  <c r="K33" i="39" s="1"/>
  <c r="E29" i="38"/>
  <c r="E35" i="37"/>
  <c r="H81" i="17"/>
  <c r="H80" i="18"/>
  <c r="C85" i="18"/>
  <c r="G28" i="39" l="1"/>
  <c r="H27" i="39" s="1"/>
  <c r="M91" i="39" s="1"/>
  <c r="E95" i="3" s="1"/>
  <c r="L27" i="39"/>
  <c r="M95" i="39" s="1"/>
  <c r="F26" i="26" s="1"/>
  <c r="F27" i="26" s="1"/>
  <c r="F29" i="26" s="1"/>
  <c r="F29" i="38"/>
  <c r="G29" i="38" s="1"/>
  <c r="F29" i="39" s="1"/>
  <c r="F35" i="37"/>
  <c r="G35" i="37" s="1"/>
  <c r="E35" i="39" s="1"/>
  <c r="C31" i="1"/>
  <c r="C23" i="1"/>
  <c r="H20" i="10"/>
  <c r="F121" i="11" s="1"/>
  <c r="H19" i="10"/>
  <c r="F120" i="11" s="1"/>
  <c r="H18" i="10"/>
  <c r="H38" i="10" s="1"/>
  <c r="H58" i="10" s="1"/>
  <c r="H17" i="10"/>
  <c r="H37" i="10" s="1"/>
  <c r="H57" i="10" s="1"/>
  <c r="H16" i="10"/>
  <c r="F117" i="11" s="1"/>
  <c r="H15" i="10"/>
  <c r="F116" i="11" s="1"/>
  <c r="G116" i="11" s="1"/>
  <c r="G29" i="39" l="1"/>
  <c r="E30" i="38"/>
  <c r="E36" i="37"/>
  <c r="H36" i="10"/>
  <c r="H56" i="10" s="1"/>
  <c r="H40" i="10"/>
  <c r="H60" i="10" s="1"/>
  <c r="F119" i="11"/>
  <c r="H39" i="10"/>
  <c r="H59" i="10" s="1"/>
  <c r="H21" i="10"/>
  <c r="F118" i="11"/>
  <c r="H35" i="10"/>
  <c r="H55" i="10" s="1"/>
  <c r="B13" i="2"/>
  <c r="B14" i="2"/>
  <c r="B15" i="2"/>
  <c r="B16" i="2"/>
  <c r="B37" i="2"/>
  <c r="B44" i="2" s="1"/>
  <c r="B38" i="2"/>
  <c r="B45" i="2" s="1"/>
  <c r="B39" i="2"/>
  <c r="B46" i="2" s="1"/>
  <c r="B40" i="2"/>
  <c r="B47" i="2" s="1"/>
  <c r="B36" i="2"/>
  <c r="B43" i="2" s="1"/>
  <c r="BF45" i="11"/>
  <c r="BQ45" i="11" s="1"/>
  <c r="CB45" i="11" s="1"/>
  <c r="CM45" i="11" s="1"/>
  <c r="BF41" i="11"/>
  <c r="BQ41" i="11" s="1"/>
  <c r="CB41" i="11" s="1"/>
  <c r="CM41" i="11" s="1"/>
  <c r="BF42" i="11"/>
  <c r="BQ42" i="11" s="1"/>
  <c r="CB42" i="11" s="1"/>
  <c r="CM42" i="11" s="1"/>
  <c r="BF40" i="11"/>
  <c r="BQ40" i="11" s="1"/>
  <c r="CB40" i="11" s="1"/>
  <c r="CM40" i="11" s="1"/>
  <c r="BC41" i="11"/>
  <c r="BN41" i="11" s="1"/>
  <c r="BY41" i="11" s="1"/>
  <c r="CJ41" i="11" s="1"/>
  <c r="BC42" i="11"/>
  <c r="BN42" i="11" s="1"/>
  <c r="BY42" i="11" s="1"/>
  <c r="CJ42" i="11" s="1"/>
  <c r="BC40" i="11"/>
  <c r="BN40" i="11" s="1"/>
  <c r="BY40" i="11" s="1"/>
  <c r="CJ40" i="11" s="1"/>
  <c r="BF31" i="11"/>
  <c r="BQ31" i="11" s="1"/>
  <c r="CB31" i="11" s="1"/>
  <c r="CM31" i="11" s="1"/>
  <c r="BC31" i="11"/>
  <c r="BN31" i="11" s="1"/>
  <c r="BY31" i="11" s="1"/>
  <c r="CJ31" i="11" s="1"/>
  <c r="BC24" i="11"/>
  <c r="BN24" i="11" s="1"/>
  <c r="BY24" i="11" s="1"/>
  <c r="CJ24" i="11" s="1"/>
  <c r="BC25" i="11"/>
  <c r="BN25" i="11" s="1"/>
  <c r="BY25" i="11" s="1"/>
  <c r="CJ25" i="11" s="1"/>
  <c r="BC23" i="11"/>
  <c r="BN23" i="11" s="1"/>
  <c r="BY23" i="11" s="1"/>
  <c r="CJ23" i="11" s="1"/>
  <c r="BF23" i="11"/>
  <c r="BQ23" i="11" s="1"/>
  <c r="CB23" i="11" s="1"/>
  <c r="CM23" i="11" s="1"/>
  <c r="BF14" i="11"/>
  <c r="BQ14" i="11" s="1"/>
  <c r="CB14" i="11" s="1"/>
  <c r="CM14" i="11" s="1"/>
  <c r="F30" i="38" l="1"/>
  <c r="G30" i="38" s="1"/>
  <c r="F36" i="37"/>
  <c r="G36" i="37" s="1"/>
  <c r="H61" i="10"/>
  <c r="H41" i="10"/>
  <c r="BC14" i="11"/>
  <c r="BN14" i="11" s="1"/>
  <c r="BY14" i="11" s="1"/>
  <c r="CJ14" i="11" s="1"/>
  <c r="I105" i="11"/>
  <c r="I104" i="11"/>
  <c r="I103" i="11"/>
  <c r="I86" i="11"/>
  <c r="I87" i="11"/>
  <c r="I88" i="11"/>
  <c r="I89" i="11"/>
  <c r="I90" i="11"/>
  <c r="I91" i="11"/>
  <c r="I92" i="11"/>
  <c r="I93" i="11"/>
  <c r="I94" i="11"/>
  <c r="I97" i="11"/>
  <c r="I98" i="11"/>
  <c r="I99" i="11"/>
  <c r="I100" i="11"/>
  <c r="I106" i="11"/>
  <c r="E31" i="38" l="1"/>
  <c r="H35" i="37"/>
  <c r="P91" i="37" s="1"/>
  <c r="E36" i="39"/>
  <c r="K35" i="39" s="1"/>
  <c r="H29" i="38"/>
  <c r="N91" i="38" s="1"/>
  <c r="F30" i="39"/>
  <c r="F31" i="38"/>
  <c r="G31" i="38" s="1"/>
  <c r="F31" i="39" s="1"/>
  <c r="E37" i="37"/>
  <c r="AQ41" i="11"/>
  <c r="C34" i="1" s="1"/>
  <c r="AQ42" i="11"/>
  <c r="C35" i="1" s="1"/>
  <c r="AQ40" i="11"/>
  <c r="C33" i="1" s="1"/>
  <c r="W45" i="11"/>
  <c r="AH45" i="11" s="1"/>
  <c r="W41" i="11"/>
  <c r="AH41" i="11" s="1"/>
  <c r="B42" i="12" s="1"/>
  <c r="B34" i="1" s="1"/>
  <c r="W42" i="11"/>
  <c r="W40" i="11"/>
  <c r="W31" i="11"/>
  <c r="AH31" i="11" s="1"/>
  <c r="B33" i="12" s="1"/>
  <c r="B25" i="1" s="1"/>
  <c r="W24" i="11"/>
  <c r="AH24" i="11" s="1"/>
  <c r="W25" i="11"/>
  <c r="AH25" i="11" s="1"/>
  <c r="W23" i="11"/>
  <c r="W14" i="11"/>
  <c r="AH14" i="11" s="1"/>
  <c r="O45" i="11"/>
  <c r="Y45" i="11" s="1"/>
  <c r="AJ45" i="11" s="1"/>
  <c r="O41" i="11"/>
  <c r="Y41" i="11" s="1"/>
  <c r="AJ41" i="11" s="1"/>
  <c r="O42" i="11"/>
  <c r="Y42" i="11" s="1"/>
  <c r="AJ42" i="11" s="1"/>
  <c r="O40" i="11"/>
  <c r="Y40" i="11" s="1"/>
  <c r="AJ40" i="11" s="1"/>
  <c r="O31" i="11"/>
  <c r="Y31" i="11" s="1"/>
  <c r="AJ31" i="11" s="1"/>
  <c r="Y24" i="11"/>
  <c r="Y25" i="11"/>
  <c r="AJ25" i="11" s="1"/>
  <c r="O23" i="11"/>
  <c r="Y23" i="11" s="1"/>
  <c r="AJ23" i="11" s="1"/>
  <c r="O14" i="11"/>
  <c r="Y14" i="11" s="1"/>
  <c r="AJ14" i="11" s="1"/>
  <c r="L45" i="11"/>
  <c r="V45" i="11" s="1"/>
  <c r="AG45" i="11" s="1"/>
  <c r="L41" i="11"/>
  <c r="V41" i="11" s="1"/>
  <c r="AG41" i="11" s="1"/>
  <c r="L42" i="11"/>
  <c r="V42" i="11" s="1"/>
  <c r="AG42" i="11" s="1"/>
  <c r="L40" i="11"/>
  <c r="V40" i="11" s="1"/>
  <c r="AG40" i="11" s="1"/>
  <c r="V31" i="11"/>
  <c r="AG31" i="11" s="1"/>
  <c r="V23" i="11"/>
  <c r="AG23" i="11" s="1"/>
  <c r="V17" i="11"/>
  <c r="AG17" i="11" s="1"/>
  <c r="V19" i="11"/>
  <c r="AG19" i="11" s="1"/>
  <c r="V14" i="11"/>
  <c r="AG14" i="11" s="1"/>
  <c r="M33" i="23"/>
  <c r="M34" i="23"/>
  <c r="M32" i="23"/>
  <c r="C55" i="23"/>
  <c r="D55" i="23" s="1"/>
  <c r="E55" i="23" s="1"/>
  <c r="F55" i="23" s="1"/>
  <c r="G55" i="23" s="1"/>
  <c r="H55" i="23" s="1"/>
  <c r="I55" i="23" s="1"/>
  <c r="J55" i="23" s="1"/>
  <c r="B25" i="12" l="1"/>
  <c r="B18" i="1" s="1"/>
  <c r="B16" i="12"/>
  <c r="B9" i="1" s="1"/>
  <c r="F16" i="12"/>
  <c r="AS45" i="11"/>
  <c r="F45" i="12" s="1"/>
  <c r="B45" i="12"/>
  <c r="B37" i="1" s="1"/>
  <c r="B26" i="12"/>
  <c r="B19" i="1" s="1"/>
  <c r="G31" i="39"/>
  <c r="G30" i="39"/>
  <c r="H29" i="39" s="1"/>
  <c r="N91" i="39" s="1"/>
  <c r="G95" i="3" s="1"/>
  <c r="L29" i="39"/>
  <c r="N95" i="39" s="1"/>
  <c r="G26" i="26" s="1"/>
  <c r="G27" i="26" s="1"/>
  <c r="G29" i="26" s="1"/>
  <c r="AH40" i="11"/>
  <c r="B41" i="12" s="1"/>
  <c r="B33" i="1" s="1"/>
  <c r="AH42" i="11"/>
  <c r="AR45" i="11"/>
  <c r="BC45" i="11" s="1"/>
  <c r="BN45" i="11" s="1"/>
  <c r="BY45" i="11" s="1"/>
  <c r="CJ45" i="11" s="1"/>
  <c r="E32" i="38"/>
  <c r="F37" i="37"/>
  <c r="G37" i="37" s="1"/>
  <c r="E37" i="39" s="1"/>
  <c r="AJ24" i="11"/>
  <c r="D39" i="2"/>
  <c r="D36" i="2"/>
  <c r="AH23" i="11"/>
  <c r="B24" i="12" s="1"/>
  <c r="B17" i="1" s="1"/>
  <c r="F43" i="12" l="1"/>
  <c r="B43" i="12"/>
  <c r="B35" i="1" s="1"/>
  <c r="BD45" i="11"/>
  <c r="BD25" i="11"/>
  <c r="F26" i="12"/>
  <c r="BD24" i="11"/>
  <c r="F25" i="12"/>
  <c r="D35" i="1"/>
  <c r="D14" i="1"/>
  <c r="D9" i="1"/>
  <c r="D12" i="1"/>
  <c r="F32" i="38"/>
  <c r="G32" i="38" s="1"/>
  <c r="E38" i="37"/>
  <c r="E15" i="2"/>
  <c r="P41" i="11"/>
  <c r="S41" i="11" s="1"/>
  <c r="T41" i="11" s="1"/>
  <c r="P42" i="11"/>
  <c r="S42" i="11" s="1"/>
  <c r="T42" i="11" s="1"/>
  <c r="P40" i="11"/>
  <c r="S40" i="11" s="1"/>
  <c r="T40" i="11" s="1"/>
  <c r="D42" i="11"/>
  <c r="D14" i="11"/>
  <c r="P31" i="11"/>
  <c r="S31" i="11" s="1"/>
  <c r="T31" i="11" s="1"/>
  <c r="E14" i="2"/>
  <c r="T17" i="11"/>
  <c r="E12" i="2"/>
  <c r="P23" i="11"/>
  <c r="S23" i="11" s="1"/>
  <c r="T23" i="11" s="1"/>
  <c r="E13" i="2"/>
  <c r="E16" i="2"/>
  <c r="D24" i="11"/>
  <c r="D37" i="2"/>
  <c r="D40" i="2"/>
  <c r="D38" i="2"/>
  <c r="E40" i="2"/>
  <c r="X23" i="11"/>
  <c r="E36" i="2"/>
  <c r="X42" i="11"/>
  <c r="X31" i="11"/>
  <c r="N40" i="11"/>
  <c r="E39" i="2"/>
  <c r="E37" i="2"/>
  <c r="E38" i="2"/>
  <c r="I16" i="12" l="1"/>
  <c r="BO25" i="11"/>
  <c r="I26" i="12"/>
  <c r="BO24" i="11"/>
  <c r="I25" i="12"/>
  <c r="BO45" i="11"/>
  <c r="I45" i="12"/>
  <c r="BD42" i="11"/>
  <c r="D19" i="1"/>
  <c r="D18" i="1"/>
  <c r="D33" i="1"/>
  <c r="D25" i="1"/>
  <c r="E33" i="1"/>
  <c r="E14" i="1"/>
  <c r="E12" i="1"/>
  <c r="D41" i="2"/>
  <c r="E33" i="38"/>
  <c r="F33" i="38" s="1"/>
  <c r="G33" i="38" s="1"/>
  <c r="F33" i="39" s="1"/>
  <c r="H31" i="38"/>
  <c r="O91" i="38" s="1"/>
  <c r="F32" i="39"/>
  <c r="E41" i="2"/>
  <c r="F38" i="37"/>
  <c r="G38" i="37" s="1"/>
  <c r="D40" i="11"/>
  <c r="D23" i="11"/>
  <c r="D41" i="11"/>
  <c r="Q40" i="11"/>
  <c r="X14" i="11"/>
  <c r="N31" i="11"/>
  <c r="Q31" i="11" s="1"/>
  <c r="N42" i="11"/>
  <c r="Q42" i="11" s="1"/>
  <c r="Q45" i="11"/>
  <c r="N41" i="11"/>
  <c r="Q41" i="11" s="1"/>
  <c r="X40" i="11"/>
  <c r="X41" i="11"/>
  <c r="P14" i="11"/>
  <c r="T19" i="11"/>
  <c r="D25" i="11"/>
  <c r="D34" i="1"/>
  <c r="N23" i="11"/>
  <c r="Q23" i="11" s="1"/>
  <c r="D31" i="11"/>
  <c r="N14" i="11"/>
  <c r="BZ45" i="11" l="1"/>
  <c r="L45" i="12"/>
  <c r="BZ25" i="11"/>
  <c r="L26" i="12"/>
  <c r="BZ14" i="11"/>
  <c r="L16" i="12"/>
  <c r="F9" i="1" s="1"/>
  <c r="I43" i="12"/>
  <c r="E35" i="1" s="1"/>
  <c r="BO42" i="11"/>
  <c r="BZ24" i="11"/>
  <c r="L25" i="12"/>
  <c r="E37" i="1"/>
  <c r="E19" i="1"/>
  <c r="D17" i="1"/>
  <c r="E18" i="1"/>
  <c r="G33" i="39"/>
  <c r="G32" i="39"/>
  <c r="H31" i="39" s="1"/>
  <c r="O91" i="39" s="1"/>
  <c r="L31" i="39"/>
  <c r="O95" i="39" s="1"/>
  <c r="H26" i="26" s="1"/>
  <c r="H27" i="26" s="1"/>
  <c r="F14" i="1"/>
  <c r="F33" i="1"/>
  <c r="E9" i="1"/>
  <c r="F25" i="1"/>
  <c r="E25" i="1"/>
  <c r="F12" i="1"/>
  <c r="H37" i="37"/>
  <c r="Q91" i="37" s="1"/>
  <c r="E38" i="39"/>
  <c r="K37" i="39" s="1"/>
  <c r="E34" i="38"/>
  <c r="E39" i="37"/>
  <c r="Q14" i="11"/>
  <c r="Q48" i="11" s="1"/>
  <c r="P48" i="11"/>
  <c r="S14" i="11"/>
  <c r="S48" i="11" s="1"/>
  <c r="I95" i="3" l="1"/>
  <c r="H29" i="26"/>
  <c r="L43" i="12"/>
  <c r="F35" i="1" s="1"/>
  <c r="BZ42" i="11"/>
  <c r="CK25" i="11"/>
  <c r="R26" i="12" s="1"/>
  <c r="O26" i="12"/>
  <c r="CK24" i="11"/>
  <c r="R25" i="12" s="1"/>
  <c r="O25" i="12"/>
  <c r="CK14" i="11"/>
  <c r="R16" i="12" s="1"/>
  <c r="H9" i="1" s="1"/>
  <c r="O16" i="12"/>
  <c r="CK45" i="11"/>
  <c r="R45" i="12" s="1"/>
  <c r="O45" i="12"/>
  <c r="G33" i="1"/>
  <c r="F18" i="1"/>
  <c r="F37" i="1"/>
  <c r="F19" i="1"/>
  <c r="G12" i="1"/>
  <c r="G14" i="1"/>
  <c r="G25" i="1"/>
  <c r="E34" i="1"/>
  <c r="E17" i="1"/>
  <c r="F17" i="1"/>
  <c r="F34" i="38"/>
  <c r="G34" i="38" s="1"/>
  <c r="F39" i="37"/>
  <c r="G39" i="37" s="1"/>
  <c r="E39" i="39" s="1"/>
  <c r="R35" i="11"/>
  <c r="R36" i="11"/>
  <c r="R33" i="11"/>
  <c r="R34" i="11"/>
  <c r="R32" i="11"/>
  <c r="T14" i="11"/>
  <c r="T48" i="11" s="1"/>
  <c r="L49" i="11" s="1"/>
  <c r="E53" i="10"/>
  <c r="E54" i="10"/>
  <c r="E52" i="10"/>
  <c r="E5" i="2"/>
  <c r="E8" i="2" s="1"/>
  <c r="D5" i="2"/>
  <c r="D8" i="2" s="1"/>
  <c r="D9" i="2" s="1"/>
  <c r="C69" i="18"/>
  <c r="C65" i="18"/>
  <c r="C61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N54" i="18" s="1"/>
  <c r="C55" i="18"/>
  <c r="C56" i="18"/>
  <c r="C37" i="18"/>
  <c r="M37" i="18" s="1"/>
  <c r="J86" i="17" l="1"/>
  <c r="I97" i="3"/>
  <c r="G65" i="2" s="1"/>
  <c r="H69" i="18"/>
  <c r="F69" i="18"/>
  <c r="CK42" i="11"/>
  <c r="R43" i="12" s="1"/>
  <c r="H35" i="1" s="1"/>
  <c r="O43" i="12"/>
  <c r="G35" i="1" s="1"/>
  <c r="D69" i="18"/>
  <c r="D70" i="18" s="1"/>
  <c r="M52" i="11"/>
  <c r="D114" i="11" s="1"/>
  <c r="M51" i="11"/>
  <c r="G37" i="1"/>
  <c r="G18" i="1"/>
  <c r="G19" i="1"/>
  <c r="H33" i="1"/>
  <c r="H12" i="1"/>
  <c r="H25" i="1"/>
  <c r="H19" i="1"/>
  <c r="H18" i="1"/>
  <c r="H14" i="1"/>
  <c r="F34" i="1"/>
  <c r="G17" i="1"/>
  <c r="G9" i="1"/>
  <c r="J49" i="18"/>
  <c r="K49" i="18"/>
  <c r="L49" i="18"/>
  <c r="M49" i="18"/>
  <c r="N49" i="18"/>
  <c r="O49" i="18"/>
  <c r="D49" i="18"/>
  <c r="F49" i="18"/>
  <c r="J42" i="18"/>
  <c r="K42" i="18"/>
  <c r="L42" i="18"/>
  <c r="M42" i="18"/>
  <c r="N42" i="18"/>
  <c r="O42" i="18"/>
  <c r="D42" i="18"/>
  <c r="F42" i="18"/>
  <c r="J48" i="18"/>
  <c r="K48" i="18"/>
  <c r="L48" i="18"/>
  <c r="M48" i="18"/>
  <c r="N48" i="18"/>
  <c r="O48" i="18"/>
  <c r="D48" i="18"/>
  <c r="F48" i="18"/>
  <c r="J47" i="18"/>
  <c r="K47" i="18"/>
  <c r="L47" i="18"/>
  <c r="M47" i="18"/>
  <c r="N47" i="18"/>
  <c r="O47" i="18"/>
  <c r="F47" i="18"/>
  <c r="D47" i="18"/>
  <c r="J56" i="18"/>
  <c r="K56" i="18"/>
  <c r="L56" i="18"/>
  <c r="M56" i="18"/>
  <c r="N56" i="18"/>
  <c r="O56" i="18"/>
  <c r="D56" i="18"/>
  <c r="F56" i="18"/>
  <c r="J46" i="18"/>
  <c r="K46" i="18"/>
  <c r="L46" i="18"/>
  <c r="M46" i="18"/>
  <c r="N46" i="18"/>
  <c r="O46" i="18"/>
  <c r="F46" i="18"/>
  <c r="D46" i="18"/>
  <c r="J52" i="18"/>
  <c r="K52" i="18"/>
  <c r="L52" i="18"/>
  <c r="M52" i="18"/>
  <c r="N52" i="18"/>
  <c r="O52" i="18"/>
  <c r="F52" i="18"/>
  <c r="D52" i="18"/>
  <c r="J45" i="18"/>
  <c r="K45" i="18"/>
  <c r="L45" i="18"/>
  <c r="M45" i="18"/>
  <c r="N45" i="18"/>
  <c r="O45" i="18"/>
  <c r="F45" i="18"/>
  <c r="D45" i="18"/>
  <c r="J38" i="18"/>
  <c r="K38" i="18"/>
  <c r="L38" i="18"/>
  <c r="M38" i="18"/>
  <c r="N38" i="18"/>
  <c r="O38" i="18"/>
  <c r="D38" i="18"/>
  <c r="F38" i="18"/>
  <c r="J40" i="18"/>
  <c r="K40" i="18"/>
  <c r="L40" i="18"/>
  <c r="M40" i="18"/>
  <c r="N40" i="18"/>
  <c r="O40" i="18"/>
  <c r="D40" i="18"/>
  <c r="F40" i="18"/>
  <c r="J39" i="18"/>
  <c r="K39" i="18"/>
  <c r="L39" i="18"/>
  <c r="M39" i="18"/>
  <c r="N39" i="18"/>
  <c r="O39" i="18"/>
  <c r="F39" i="18"/>
  <c r="D39" i="18"/>
  <c r="J55" i="18"/>
  <c r="K55" i="18"/>
  <c r="L55" i="18"/>
  <c r="M55" i="18"/>
  <c r="N55" i="18"/>
  <c r="O55" i="18"/>
  <c r="D55" i="18"/>
  <c r="F55" i="18"/>
  <c r="J41" i="18"/>
  <c r="K41" i="18"/>
  <c r="L41" i="18"/>
  <c r="M41" i="18"/>
  <c r="N41" i="18"/>
  <c r="O41" i="18"/>
  <c r="D41" i="18"/>
  <c r="F41" i="18"/>
  <c r="J53" i="18"/>
  <c r="K53" i="18"/>
  <c r="L53" i="18"/>
  <c r="M53" i="18"/>
  <c r="N53" i="18"/>
  <c r="O53" i="18"/>
  <c r="D53" i="18"/>
  <c r="F53" i="18"/>
  <c r="J51" i="18"/>
  <c r="K51" i="18"/>
  <c r="L51" i="18"/>
  <c r="M51" i="18"/>
  <c r="N51" i="18"/>
  <c r="O51" i="18"/>
  <c r="F51" i="18"/>
  <c r="D51" i="18"/>
  <c r="J44" i="18"/>
  <c r="K44" i="18"/>
  <c r="L44" i="18"/>
  <c r="M44" i="18"/>
  <c r="N44" i="18"/>
  <c r="O44" i="18"/>
  <c r="D44" i="18"/>
  <c r="F44" i="18"/>
  <c r="F61" i="18"/>
  <c r="F62" i="18" s="1"/>
  <c r="D61" i="18"/>
  <c r="D62" i="18" s="1"/>
  <c r="M61" i="18"/>
  <c r="N61" i="18"/>
  <c r="J54" i="18"/>
  <c r="K54" i="18"/>
  <c r="L54" i="18"/>
  <c r="M54" i="18"/>
  <c r="O54" i="18"/>
  <c r="D54" i="18"/>
  <c r="F54" i="18"/>
  <c r="J50" i="18"/>
  <c r="K50" i="18"/>
  <c r="L50" i="18"/>
  <c r="M50" i="18"/>
  <c r="N50" i="18"/>
  <c r="O50" i="18"/>
  <c r="D50" i="18"/>
  <c r="F50" i="18"/>
  <c r="J43" i="18"/>
  <c r="K43" i="18"/>
  <c r="L43" i="18"/>
  <c r="M43" i="18"/>
  <c r="N43" i="18"/>
  <c r="O43" i="18"/>
  <c r="D43" i="18"/>
  <c r="F43" i="18"/>
  <c r="H52" i="18"/>
  <c r="H33" i="38"/>
  <c r="P91" i="38" s="1"/>
  <c r="F34" i="39"/>
  <c r="H55" i="18"/>
  <c r="H51" i="18"/>
  <c r="H48" i="18"/>
  <c r="H44" i="18"/>
  <c r="H40" i="18"/>
  <c r="H61" i="18"/>
  <c r="H62" i="18" s="1"/>
  <c r="J61" i="18"/>
  <c r="K61" i="18"/>
  <c r="L61" i="18"/>
  <c r="O61" i="18"/>
  <c r="H45" i="18"/>
  <c r="H47" i="18"/>
  <c r="H39" i="18"/>
  <c r="J65" i="18"/>
  <c r="H65" i="18"/>
  <c r="H66" i="18" s="1"/>
  <c r="D65" i="18"/>
  <c r="D66" i="18" s="1"/>
  <c r="F65" i="18"/>
  <c r="F66" i="18" s="1"/>
  <c r="H41" i="18"/>
  <c r="H38" i="18"/>
  <c r="H37" i="18"/>
  <c r="F37" i="18"/>
  <c r="D37" i="18"/>
  <c r="J37" i="18"/>
  <c r="L37" i="18"/>
  <c r="K37" i="18"/>
  <c r="N37" i="18"/>
  <c r="N57" i="18" s="1"/>
  <c r="O37" i="18"/>
  <c r="H54" i="18"/>
  <c r="H50" i="18"/>
  <c r="H43" i="18"/>
  <c r="H56" i="18"/>
  <c r="H53" i="18"/>
  <c r="H49" i="18"/>
  <c r="H46" i="18"/>
  <c r="H42" i="18"/>
  <c r="E35" i="38"/>
  <c r="F35" i="38" s="1"/>
  <c r="G35" i="38" s="1"/>
  <c r="F35" i="39" s="1"/>
  <c r="E40" i="37"/>
  <c r="R26" i="11"/>
  <c r="R27" i="11"/>
  <c r="R24" i="11"/>
  <c r="R28" i="11"/>
  <c r="R25" i="11"/>
  <c r="R14" i="11"/>
  <c r="R18" i="11"/>
  <c r="R17" i="11"/>
  <c r="R15" i="11"/>
  <c r="R19" i="11"/>
  <c r="R16" i="11"/>
  <c r="R8" i="18"/>
  <c r="R41" i="11"/>
  <c r="R42" i="11"/>
  <c r="R40" i="11"/>
  <c r="R31" i="11"/>
  <c r="R23" i="11"/>
  <c r="R45" i="11"/>
  <c r="R16" i="18"/>
  <c r="E72" i="2"/>
  <c r="S19" i="18"/>
  <c r="S49" i="17"/>
  <c r="S8" i="18"/>
  <c r="S17" i="18"/>
  <c r="R9" i="18"/>
  <c r="R7" i="18"/>
  <c r="E49" i="2"/>
  <c r="E69" i="2" s="1"/>
  <c r="D49" i="2"/>
  <c r="D69" i="2" s="1"/>
  <c r="R46" i="17"/>
  <c r="R45" i="17"/>
  <c r="R41" i="17"/>
  <c r="S12" i="17"/>
  <c r="S10" i="17"/>
  <c r="R17" i="17"/>
  <c r="R12" i="17"/>
  <c r="E17" i="2"/>
  <c r="E9" i="2"/>
  <c r="F70" i="18"/>
  <c r="S56" i="17"/>
  <c r="S53" i="17"/>
  <c r="S62" i="17"/>
  <c r="R49" i="17"/>
  <c r="R56" i="17"/>
  <c r="R44" i="17"/>
  <c r="R14" i="17"/>
  <c r="S14" i="17"/>
  <c r="R15" i="17"/>
  <c r="R16" i="17"/>
  <c r="S40" i="17"/>
  <c r="R42" i="17"/>
  <c r="R48" i="17"/>
  <c r="R51" i="17"/>
  <c r="R55" i="17"/>
  <c r="S46" i="17"/>
  <c r="S16" i="17"/>
  <c r="R40" i="17"/>
  <c r="S42" i="17"/>
  <c r="S44" i="17"/>
  <c r="S48" i="17"/>
  <c r="S51" i="17"/>
  <c r="R53" i="17"/>
  <c r="S55" i="17"/>
  <c r="S61" i="17"/>
  <c r="S15" i="17"/>
  <c r="R11" i="17"/>
  <c r="S13" i="17"/>
  <c r="R18" i="17"/>
  <c r="S11" i="17"/>
  <c r="R13" i="17"/>
  <c r="S18" i="17"/>
  <c r="S39" i="17"/>
  <c r="S17" i="17"/>
  <c r="R10" i="17"/>
  <c r="R37" i="17"/>
  <c r="R43" i="17"/>
  <c r="S47" i="17"/>
  <c r="D66" i="17"/>
  <c r="S37" i="17"/>
  <c r="R38" i="17"/>
  <c r="S43" i="17"/>
  <c r="S41" i="17"/>
  <c r="F57" i="17"/>
  <c r="S38" i="17"/>
  <c r="R39" i="17"/>
  <c r="S50" i="17"/>
  <c r="R52" i="17"/>
  <c r="S45" i="17"/>
  <c r="S52" i="17"/>
  <c r="R47" i="17"/>
  <c r="R50" i="17"/>
  <c r="R54" i="17"/>
  <c r="H66" i="17"/>
  <c r="S65" i="17"/>
  <c r="S54" i="17"/>
  <c r="R62" i="17"/>
  <c r="R61" i="17"/>
  <c r="F66" i="17"/>
  <c r="R65" i="17"/>
  <c r="F72" i="17" l="1"/>
  <c r="D72" i="17"/>
  <c r="D88" i="17" s="1"/>
  <c r="H72" i="17"/>
  <c r="I69" i="17" s="1"/>
  <c r="E34" i="17"/>
  <c r="G69" i="17"/>
  <c r="I13" i="17"/>
  <c r="I11" i="17"/>
  <c r="E11" i="17"/>
  <c r="E15" i="17"/>
  <c r="E19" i="17"/>
  <c r="E22" i="17"/>
  <c r="E10" i="17"/>
  <c r="E18" i="17"/>
  <c r="E20" i="17"/>
  <c r="E27" i="17"/>
  <c r="E8" i="17"/>
  <c r="E12" i="17"/>
  <c r="E16" i="17"/>
  <c r="E7" i="17"/>
  <c r="E25" i="17"/>
  <c r="E29" i="17"/>
  <c r="E14" i="17"/>
  <c r="E21" i="17"/>
  <c r="E24" i="17"/>
  <c r="E28" i="17"/>
  <c r="E9" i="17"/>
  <c r="E13" i="17"/>
  <c r="E17" i="17"/>
  <c r="S39" i="18"/>
  <c r="S47" i="18"/>
  <c r="R44" i="18"/>
  <c r="R39" i="18"/>
  <c r="S50" i="18"/>
  <c r="S51" i="18"/>
  <c r="S40" i="18"/>
  <c r="E21" i="2"/>
  <c r="E24" i="2" s="1"/>
  <c r="G34" i="1"/>
  <c r="G34" i="39"/>
  <c r="H33" i="39" s="1"/>
  <c r="P91" i="39" s="1"/>
  <c r="L33" i="39"/>
  <c r="P95" i="39" s="1"/>
  <c r="I26" i="26" s="1"/>
  <c r="G35" i="39"/>
  <c r="H37" i="1"/>
  <c r="H17" i="1"/>
  <c r="I5" i="17"/>
  <c r="I61" i="17"/>
  <c r="S65" i="18"/>
  <c r="S42" i="18"/>
  <c r="E36" i="38"/>
  <c r="F40" i="37"/>
  <c r="G40" i="37" s="1"/>
  <c r="K62" i="18"/>
  <c r="N62" i="18"/>
  <c r="O62" i="18"/>
  <c r="M62" i="18"/>
  <c r="R42" i="18"/>
  <c r="J62" i="18"/>
  <c r="L62" i="18"/>
  <c r="R37" i="18"/>
  <c r="R40" i="18"/>
  <c r="R47" i="18"/>
  <c r="R46" i="18"/>
  <c r="S43" i="18"/>
  <c r="R50" i="18"/>
  <c r="R62" i="18"/>
  <c r="S48" i="18"/>
  <c r="R48" i="11"/>
  <c r="U35" i="11"/>
  <c r="U34" i="11"/>
  <c r="U32" i="11"/>
  <c r="U36" i="11"/>
  <c r="U33" i="11"/>
  <c r="U27" i="11"/>
  <c r="U26" i="11"/>
  <c r="U24" i="11"/>
  <c r="U28" i="11"/>
  <c r="U25" i="11"/>
  <c r="U18" i="11"/>
  <c r="U15" i="11"/>
  <c r="U19" i="11"/>
  <c r="U16" i="11"/>
  <c r="U17" i="11"/>
  <c r="H12" i="10"/>
  <c r="F113" i="11" s="1"/>
  <c r="D57" i="18"/>
  <c r="D72" i="18" s="1"/>
  <c r="M57" i="18"/>
  <c r="S46" i="18"/>
  <c r="K57" i="18"/>
  <c r="H57" i="18"/>
  <c r="J57" i="18"/>
  <c r="F57" i="18"/>
  <c r="F72" i="18" s="1"/>
  <c r="S37" i="18"/>
  <c r="E44" i="17"/>
  <c r="E54" i="17"/>
  <c r="E43" i="17"/>
  <c r="E53" i="17"/>
  <c r="E40" i="17"/>
  <c r="E38" i="17"/>
  <c r="E48" i="17"/>
  <c r="E39" i="17"/>
  <c r="E49" i="17"/>
  <c r="E45" i="17"/>
  <c r="E55" i="17"/>
  <c r="E47" i="17"/>
  <c r="E42" i="17"/>
  <c r="E51" i="17"/>
  <c r="E65" i="17"/>
  <c r="E37" i="17"/>
  <c r="E50" i="17"/>
  <c r="E60" i="17"/>
  <c r="E56" i="17"/>
  <c r="E46" i="17"/>
  <c r="E41" i="17"/>
  <c r="E52" i="17"/>
  <c r="R66" i="17"/>
  <c r="R49" i="18"/>
  <c r="S49" i="18"/>
  <c r="S16" i="18"/>
  <c r="U14" i="11"/>
  <c r="E62" i="2"/>
  <c r="S44" i="18"/>
  <c r="R18" i="18"/>
  <c r="R19" i="18"/>
  <c r="S7" i="18"/>
  <c r="U31" i="11"/>
  <c r="U41" i="11"/>
  <c r="U23" i="11"/>
  <c r="U40" i="11"/>
  <c r="U42" i="11"/>
  <c r="R66" i="18"/>
  <c r="R65" i="18"/>
  <c r="R43" i="18"/>
  <c r="R17" i="18"/>
  <c r="S62" i="18"/>
  <c r="R70" i="18"/>
  <c r="S45" i="18"/>
  <c r="S9" i="18"/>
  <c r="R61" i="18"/>
  <c r="S61" i="18"/>
  <c r="R38" i="18"/>
  <c r="R70" i="17"/>
  <c r="S38" i="18"/>
  <c r="S10" i="18"/>
  <c r="R41" i="18"/>
  <c r="E13" i="10"/>
  <c r="E33" i="10"/>
  <c r="E18" i="2"/>
  <c r="H13" i="10"/>
  <c r="R48" i="18"/>
  <c r="R15" i="18"/>
  <c r="R45" i="18"/>
  <c r="R52" i="18"/>
  <c r="S18" i="18"/>
  <c r="R51" i="18"/>
  <c r="S41" i="18"/>
  <c r="R10" i="18"/>
  <c r="J69" i="18"/>
  <c r="S52" i="18"/>
  <c r="R69" i="18"/>
  <c r="H70" i="18"/>
  <c r="S69" i="18"/>
  <c r="S15" i="18"/>
  <c r="S66" i="18"/>
  <c r="S30" i="17"/>
  <c r="R57" i="17"/>
  <c r="S57" i="17"/>
  <c r="R30" i="17"/>
  <c r="S66" i="17"/>
  <c r="S70" i="17"/>
  <c r="E23" i="17" l="1"/>
  <c r="I8" i="17"/>
  <c r="E26" i="17"/>
  <c r="E5" i="17"/>
  <c r="I25" i="17"/>
  <c r="I26" i="17"/>
  <c r="I18" i="17"/>
  <c r="I15" i="17"/>
  <c r="I33" i="17"/>
  <c r="I7" i="17"/>
  <c r="I23" i="17"/>
  <c r="I14" i="17"/>
  <c r="I34" i="17"/>
  <c r="I28" i="17"/>
  <c r="I60" i="17"/>
  <c r="I62" i="17" s="1"/>
  <c r="I19" i="17"/>
  <c r="I16" i="17"/>
  <c r="I27" i="17"/>
  <c r="I21" i="17"/>
  <c r="I65" i="17"/>
  <c r="I66" i="17" s="1"/>
  <c r="I29" i="17"/>
  <c r="I10" i="17"/>
  <c r="I22" i="17"/>
  <c r="I20" i="17"/>
  <c r="I9" i="17"/>
  <c r="E33" i="17"/>
  <c r="I24" i="17"/>
  <c r="E32" i="17"/>
  <c r="E69" i="17"/>
  <c r="E70" i="17" s="1"/>
  <c r="I12" i="17"/>
  <c r="I17" i="17"/>
  <c r="I32" i="17"/>
  <c r="S70" i="18"/>
  <c r="H72" i="18"/>
  <c r="R57" i="18"/>
  <c r="I35" i="17"/>
  <c r="E32" i="18"/>
  <c r="G34" i="17"/>
  <c r="G32" i="17"/>
  <c r="G33" i="17"/>
  <c r="G5" i="17"/>
  <c r="G19" i="17"/>
  <c r="G15" i="17"/>
  <c r="G26" i="17"/>
  <c r="G17" i="17"/>
  <c r="G11" i="17"/>
  <c r="G22" i="17"/>
  <c r="G13" i="17"/>
  <c r="G24" i="17"/>
  <c r="G8" i="17"/>
  <c r="G25" i="17"/>
  <c r="G9" i="17"/>
  <c r="G18" i="17"/>
  <c r="G28" i="17"/>
  <c r="G14" i="17"/>
  <c r="G27" i="17"/>
  <c r="G16" i="17"/>
  <c r="G10" i="17"/>
  <c r="G21" i="17"/>
  <c r="G29" i="17"/>
  <c r="G23" i="17"/>
  <c r="G20" i="17"/>
  <c r="G12" i="17"/>
  <c r="E30" i="17"/>
  <c r="G60" i="17"/>
  <c r="I27" i="26"/>
  <c r="I29" i="26" s="1"/>
  <c r="K94" i="3" s="1"/>
  <c r="H34" i="1"/>
  <c r="U48" i="11"/>
  <c r="H39" i="37"/>
  <c r="R91" i="37" s="1"/>
  <c r="E40" i="39"/>
  <c r="K39" i="39" s="1"/>
  <c r="G55" i="17"/>
  <c r="G52" i="17"/>
  <c r="G50" i="17"/>
  <c r="G61" i="17"/>
  <c r="G43" i="17"/>
  <c r="G7" i="17"/>
  <c r="G46" i="17"/>
  <c r="G42" i="17"/>
  <c r="G37" i="17"/>
  <c r="G38" i="17"/>
  <c r="G54" i="17"/>
  <c r="G48" i="17"/>
  <c r="G40" i="17"/>
  <c r="G39" i="17"/>
  <c r="G51" i="17"/>
  <c r="G53" i="17"/>
  <c r="G41" i="17"/>
  <c r="G45" i="17"/>
  <c r="G47" i="17"/>
  <c r="G56" i="17"/>
  <c r="G49" i="17"/>
  <c r="G44" i="17"/>
  <c r="F36" i="38"/>
  <c r="G36" i="38" s="1"/>
  <c r="E41" i="37"/>
  <c r="G113" i="11"/>
  <c r="D72" i="2"/>
  <c r="E57" i="17"/>
  <c r="H32" i="10"/>
  <c r="H52" i="10" s="1"/>
  <c r="H33" i="10"/>
  <c r="H53" i="10" s="1"/>
  <c r="F114" i="11"/>
  <c r="G114" i="11" s="1"/>
  <c r="G9" i="2"/>
  <c r="S30" i="18"/>
  <c r="R30" i="18"/>
  <c r="S57" i="18"/>
  <c r="R72" i="17"/>
  <c r="F88" i="17"/>
  <c r="G65" i="17"/>
  <c r="G66" i="17" s="1"/>
  <c r="G70" i="17"/>
  <c r="H88" i="17"/>
  <c r="D34" i="10" s="1"/>
  <c r="S72" i="17"/>
  <c r="I56" i="17"/>
  <c r="I51" i="17"/>
  <c r="I48" i="17"/>
  <c r="I55" i="17"/>
  <c r="I49" i="17"/>
  <c r="I42" i="17"/>
  <c r="I44" i="17"/>
  <c r="I53" i="17"/>
  <c r="I40" i="17"/>
  <c r="I46" i="17"/>
  <c r="I47" i="17"/>
  <c r="I41" i="17"/>
  <c r="I39" i="17"/>
  <c r="I37" i="17"/>
  <c r="I43" i="17"/>
  <c r="I45" i="17"/>
  <c r="I54" i="17"/>
  <c r="I52" i="17"/>
  <c r="I38" i="17"/>
  <c r="I70" i="17"/>
  <c r="I50" i="17"/>
  <c r="D32" i="10"/>
  <c r="E61" i="17"/>
  <c r="E62" i="17" s="1"/>
  <c r="E66" i="17"/>
  <c r="D33" i="10" l="1"/>
  <c r="F33" i="10" s="1"/>
  <c r="J33" i="10" s="1"/>
  <c r="I30" i="17"/>
  <c r="E35" i="17"/>
  <c r="E72" i="17" s="1"/>
  <c r="K86" i="17"/>
  <c r="K85" i="18"/>
  <c r="K95" i="3"/>
  <c r="E33" i="18"/>
  <c r="G35" i="17"/>
  <c r="E34" i="18"/>
  <c r="G34" i="18"/>
  <c r="G33" i="18"/>
  <c r="G32" i="18"/>
  <c r="I33" i="18"/>
  <c r="I34" i="18"/>
  <c r="I32" i="18"/>
  <c r="G62" i="17"/>
  <c r="G25" i="18"/>
  <c r="G22" i="18"/>
  <c r="G20" i="18"/>
  <c r="G26" i="18"/>
  <c r="G24" i="18"/>
  <c r="G23" i="18"/>
  <c r="G29" i="18"/>
  <c r="G28" i="18"/>
  <c r="G21" i="18"/>
  <c r="G27" i="18"/>
  <c r="G9" i="18"/>
  <c r="G16" i="18"/>
  <c r="G17" i="18"/>
  <c r="G19" i="18"/>
  <c r="G8" i="18"/>
  <c r="G10" i="18"/>
  <c r="G11" i="18"/>
  <c r="G12" i="18"/>
  <c r="G14" i="18"/>
  <c r="G15" i="18"/>
  <c r="G18" i="18"/>
  <c r="G13" i="18"/>
  <c r="G30" i="17"/>
  <c r="D54" i="10"/>
  <c r="F54" i="10" s="1"/>
  <c r="I20" i="18"/>
  <c r="I23" i="18"/>
  <c r="I27" i="18"/>
  <c r="I8" i="18"/>
  <c r="I12" i="18"/>
  <c r="I16" i="18"/>
  <c r="I11" i="18"/>
  <c r="I19" i="18"/>
  <c r="I21" i="18"/>
  <c r="I24" i="18"/>
  <c r="I28" i="18"/>
  <c r="I9" i="18"/>
  <c r="I13" i="18"/>
  <c r="I17" i="18"/>
  <c r="I26" i="18"/>
  <c r="I22" i="18"/>
  <c r="I25" i="18"/>
  <c r="I29" i="18"/>
  <c r="I10" i="18"/>
  <c r="I14" i="18"/>
  <c r="I18" i="18"/>
  <c r="I15" i="18"/>
  <c r="D87" i="18"/>
  <c r="E26" i="18"/>
  <c r="E20" i="18"/>
  <c r="E23" i="18"/>
  <c r="E27" i="18"/>
  <c r="E19" i="18"/>
  <c r="E21" i="18"/>
  <c r="E24" i="18"/>
  <c r="E28" i="18"/>
  <c r="E22" i="18"/>
  <c r="E25" i="18"/>
  <c r="E29" i="18"/>
  <c r="E37" i="38"/>
  <c r="F37" i="38" s="1"/>
  <c r="G37" i="38" s="1"/>
  <c r="F37" i="39" s="1"/>
  <c r="H35" i="38"/>
  <c r="Q91" i="38" s="1"/>
  <c r="F36" i="39"/>
  <c r="G57" i="17"/>
  <c r="F41" i="37"/>
  <c r="G41" i="37" s="1"/>
  <c r="E41" i="39" s="1"/>
  <c r="E5" i="18"/>
  <c r="E12" i="18"/>
  <c r="E18" i="18"/>
  <c r="E16" i="18"/>
  <c r="E14" i="18"/>
  <c r="E15" i="18"/>
  <c r="E8" i="18"/>
  <c r="E9" i="18"/>
  <c r="E11" i="18"/>
  <c r="E13" i="18"/>
  <c r="E17" i="18"/>
  <c r="E10" i="18"/>
  <c r="E7" i="18"/>
  <c r="E60" i="18"/>
  <c r="E38" i="18"/>
  <c r="E39" i="18"/>
  <c r="E53" i="18"/>
  <c r="E44" i="18"/>
  <c r="E41" i="18"/>
  <c r="E50" i="18"/>
  <c r="E49" i="18"/>
  <c r="E54" i="18"/>
  <c r="E42" i="18"/>
  <c r="E46" i="18"/>
  <c r="E48" i="18"/>
  <c r="E52" i="18"/>
  <c r="E40" i="18"/>
  <c r="E45" i="18"/>
  <c r="E61" i="18"/>
  <c r="E51" i="18"/>
  <c r="E47" i="18"/>
  <c r="E37" i="18"/>
  <c r="E56" i="18"/>
  <c r="E55" i="18"/>
  <c r="E43" i="18"/>
  <c r="I65" i="18"/>
  <c r="I66" i="18" s="1"/>
  <c r="I40" i="18"/>
  <c r="I44" i="18"/>
  <c r="I48" i="18"/>
  <c r="I51" i="18"/>
  <c r="I55" i="18"/>
  <c r="I37" i="18"/>
  <c r="I43" i="18"/>
  <c r="I50" i="18"/>
  <c r="I54" i="18"/>
  <c r="I38" i="18"/>
  <c r="I41" i="18"/>
  <c r="I45" i="18"/>
  <c r="I52" i="18"/>
  <c r="I47" i="18"/>
  <c r="I61" i="18"/>
  <c r="I42" i="18"/>
  <c r="I46" i="18"/>
  <c r="I49" i="18"/>
  <c r="I53" i="18"/>
  <c r="I56" i="18"/>
  <c r="I5" i="18"/>
  <c r="I60" i="18"/>
  <c r="I39" i="18"/>
  <c r="G65" i="18"/>
  <c r="G66" i="18" s="1"/>
  <c r="G40" i="18"/>
  <c r="G44" i="18"/>
  <c r="G48" i="18"/>
  <c r="G51" i="18"/>
  <c r="G55" i="18"/>
  <c r="G43" i="18"/>
  <c r="G50" i="18"/>
  <c r="G54" i="18"/>
  <c r="G38" i="18"/>
  <c r="G41" i="18"/>
  <c r="G45" i="18"/>
  <c r="G52" i="18"/>
  <c r="G5" i="18"/>
  <c r="G60" i="18"/>
  <c r="G47" i="18"/>
  <c r="G61" i="18"/>
  <c r="G42" i="18"/>
  <c r="G46" i="18"/>
  <c r="G49" i="18"/>
  <c r="G53" i="18"/>
  <c r="G56" i="18"/>
  <c r="G7" i="18"/>
  <c r="G39" i="18"/>
  <c r="D52" i="10"/>
  <c r="F52" i="10" s="1"/>
  <c r="J52" i="10" s="1"/>
  <c r="G39" i="2"/>
  <c r="H36" i="2"/>
  <c r="I7" i="18"/>
  <c r="G37" i="2"/>
  <c r="D37" i="1"/>
  <c r="G36" i="2"/>
  <c r="G38" i="2"/>
  <c r="H87" i="18"/>
  <c r="F87" i="18"/>
  <c r="D53" i="10"/>
  <c r="F53" i="10" s="1"/>
  <c r="J53" i="10" s="1"/>
  <c r="E69" i="18"/>
  <c r="I69" i="18"/>
  <c r="E65" i="18"/>
  <c r="E66" i="18" s="1"/>
  <c r="K69" i="18"/>
  <c r="H9" i="2"/>
  <c r="R72" i="18"/>
  <c r="G37" i="18"/>
  <c r="S72" i="18"/>
  <c r="J70" i="18"/>
  <c r="G69" i="18"/>
  <c r="I57" i="17"/>
  <c r="I72" i="17" s="1"/>
  <c r="G72" i="17" l="1"/>
  <c r="I35" i="18"/>
  <c r="G35" i="18"/>
  <c r="E35" i="18"/>
  <c r="E30" i="18"/>
  <c r="G30" i="18"/>
  <c r="I30" i="18"/>
  <c r="I19" i="2"/>
  <c r="I62" i="18"/>
  <c r="G37" i="39"/>
  <c r="G36" i="39"/>
  <c r="H35" i="39" s="1"/>
  <c r="Q91" i="39" s="1"/>
  <c r="L35" i="39"/>
  <c r="Q95" i="39" s="1"/>
  <c r="J26" i="26" s="1"/>
  <c r="E42" i="37"/>
  <c r="F42" i="37" s="1"/>
  <c r="E38" i="38"/>
  <c r="E57" i="18"/>
  <c r="E62" i="18"/>
  <c r="I57" i="18"/>
  <c r="G57" i="18"/>
  <c r="G62" i="18"/>
  <c r="L69" i="18"/>
  <c r="G40" i="2"/>
  <c r="I70" i="18"/>
  <c r="S22" i="23"/>
  <c r="H37" i="2"/>
  <c r="Q16" i="23"/>
  <c r="AT25" i="11" s="1"/>
  <c r="Q17" i="23"/>
  <c r="AT26" i="11" s="1"/>
  <c r="Q15" i="23"/>
  <c r="AT24" i="11" s="1"/>
  <c r="AT23" i="11"/>
  <c r="AT45" i="11"/>
  <c r="H40" i="2"/>
  <c r="Q22" i="23"/>
  <c r="H38" i="2"/>
  <c r="H39" i="2"/>
  <c r="E70" i="18"/>
  <c r="H18" i="2"/>
  <c r="H22" i="2" s="1"/>
  <c r="I9" i="2"/>
  <c r="J5" i="2"/>
  <c r="J8" i="2" s="1"/>
  <c r="G70" i="18"/>
  <c r="K70" i="18"/>
  <c r="E72" i="18" l="1"/>
  <c r="I72" i="18"/>
  <c r="G72" i="18"/>
  <c r="G41" i="2"/>
  <c r="G49" i="2" s="1"/>
  <c r="G69" i="2" s="1"/>
  <c r="J27" i="26"/>
  <c r="G42" i="37"/>
  <c r="E43" i="37" s="1"/>
  <c r="F43" i="37" s="1"/>
  <c r="G43" i="37" s="1"/>
  <c r="E43" i="39" s="1"/>
  <c r="F38" i="38"/>
  <c r="G38" i="38" s="1"/>
  <c r="Q28" i="23"/>
  <c r="Q23" i="23"/>
  <c r="AT31" i="11" s="1"/>
  <c r="Q11" i="23"/>
  <c r="AT19" i="11" s="1"/>
  <c r="M69" i="18"/>
  <c r="I21" i="2"/>
  <c r="Q8" i="23"/>
  <c r="AT16" i="11" s="1"/>
  <c r="Q10" i="23"/>
  <c r="AT18" i="11" s="1"/>
  <c r="Q9" i="23"/>
  <c r="AT17" i="11" s="1"/>
  <c r="Q7" i="23"/>
  <c r="AT15" i="11" s="1"/>
  <c r="Q27" i="23"/>
  <c r="S28" i="23"/>
  <c r="S27" i="23"/>
  <c r="I38" i="2"/>
  <c r="I39" i="2"/>
  <c r="H41" i="2"/>
  <c r="H49" i="2" s="1"/>
  <c r="H69" i="2" s="1"/>
  <c r="J38" i="2"/>
  <c r="Q34" i="23"/>
  <c r="AT42" i="11" s="1"/>
  <c r="Q33" i="23"/>
  <c r="AT41" i="11" s="1"/>
  <c r="Q32" i="23"/>
  <c r="AT40" i="11" s="1"/>
  <c r="I36" i="2"/>
  <c r="S24" i="23"/>
  <c r="BE32" i="11" s="1"/>
  <c r="S23" i="23"/>
  <c r="BE31" i="11" s="1"/>
  <c r="S25" i="23"/>
  <c r="BE33" i="11" s="1"/>
  <c r="S26" i="23"/>
  <c r="BE34" i="11" s="1"/>
  <c r="I40" i="2"/>
  <c r="BE45" i="11"/>
  <c r="I37" i="2"/>
  <c r="S34" i="23"/>
  <c r="BE42" i="11" s="1"/>
  <c r="S32" i="23"/>
  <c r="BE40" i="11" s="1"/>
  <c r="S33" i="23"/>
  <c r="BE41" i="11" s="1"/>
  <c r="Q26" i="23"/>
  <c r="AT34" i="11" s="1"/>
  <c r="Q25" i="23"/>
  <c r="AT33" i="11" s="1"/>
  <c r="Q24" i="23"/>
  <c r="AT32" i="11" s="1"/>
  <c r="I18" i="2"/>
  <c r="I22" i="2" s="1"/>
  <c r="J9" i="2"/>
  <c r="L5" i="2"/>
  <c r="L8" i="2" s="1"/>
  <c r="K5" i="2"/>
  <c r="K8" i="2" s="1"/>
  <c r="L70" i="18"/>
  <c r="N69" i="18"/>
  <c r="M94" i="3" l="1"/>
  <c r="J29" i="26"/>
  <c r="M95" i="3" s="1"/>
  <c r="L86" i="17"/>
  <c r="L85" i="18"/>
  <c r="H37" i="38"/>
  <c r="R91" i="38" s="1"/>
  <c r="F38" i="39"/>
  <c r="E42" i="39"/>
  <c r="K41" i="39" s="1"/>
  <c r="H41" i="37"/>
  <c r="S91" i="37" s="1"/>
  <c r="E39" i="38"/>
  <c r="E44" i="37"/>
  <c r="J36" i="2"/>
  <c r="S17" i="23"/>
  <c r="BE26" i="11" s="1"/>
  <c r="U22" i="23"/>
  <c r="U24" i="23" s="1"/>
  <c r="BP32" i="11" s="1"/>
  <c r="K38" i="2"/>
  <c r="U7" i="23"/>
  <c r="BP15" i="11" s="1"/>
  <c r="U6" i="23"/>
  <c r="BP14" i="11" s="1"/>
  <c r="U8" i="23"/>
  <c r="BP16" i="11" s="1"/>
  <c r="U10" i="23"/>
  <c r="BP18" i="11" s="1"/>
  <c r="U9" i="23"/>
  <c r="BP17" i="11" s="1"/>
  <c r="U11" i="23"/>
  <c r="BP19" i="11" s="1"/>
  <c r="BP45" i="11"/>
  <c r="J40" i="2"/>
  <c r="J39" i="2"/>
  <c r="J37" i="2"/>
  <c r="S14" i="23"/>
  <c r="BE23" i="11" s="1"/>
  <c r="S16" i="23"/>
  <c r="BE25" i="11" s="1"/>
  <c r="S15" i="23"/>
  <c r="BE24" i="11" s="1"/>
  <c r="S10" i="23"/>
  <c r="BE18" i="11" s="1"/>
  <c r="S11" i="23"/>
  <c r="BE19" i="11" s="1"/>
  <c r="S9" i="23"/>
  <c r="BE17" i="11" s="1"/>
  <c r="S8" i="23"/>
  <c r="BE16" i="11" s="1"/>
  <c r="S6" i="23"/>
  <c r="BE14" i="11" s="1"/>
  <c r="S7" i="23"/>
  <c r="BE15" i="11" s="1"/>
  <c r="I41" i="2"/>
  <c r="I49" i="2" s="1"/>
  <c r="I69" i="2" s="1"/>
  <c r="J18" i="2"/>
  <c r="J22" i="2" s="1"/>
  <c r="J21" i="2"/>
  <c r="K9" i="2"/>
  <c r="L9" i="2"/>
  <c r="O69" i="18"/>
  <c r="M70" i="18"/>
  <c r="G38" i="39" l="1"/>
  <c r="H37" i="39" s="1"/>
  <c r="R91" i="39" s="1"/>
  <c r="L37" i="39"/>
  <c r="R95" i="39" s="1"/>
  <c r="K26" i="26" s="1"/>
  <c r="F39" i="38"/>
  <c r="G39" i="38" s="1"/>
  <c r="F39" i="39" s="1"/>
  <c r="F44" i="37"/>
  <c r="G44" i="37" s="1"/>
  <c r="W22" i="23"/>
  <c r="W23" i="23" s="1"/>
  <c r="CA31" i="11" s="1"/>
  <c r="U23" i="23"/>
  <c r="BP31" i="11" s="1"/>
  <c r="U25" i="23"/>
  <c r="BP33" i="11" s="1"/>
  <c r="U17" i="23"/>
  <c r="BP26" i="11" s="1"/>
  <c r="U27" i="23"/>
  <c r="U28" i="23"/>
  <c r="U26" i="23"/>
  <c r="BP34" i="11" s="1"/>
  <c r="J41" i="2"/>
  <c r="J49" i="2" s="1"/>
  <c r="J69" i="2" s="1"/>
  <c r="K39" i="2"/>
  <c r="K40" i="2"/>
  <c r="CA45" i="11"/>
  <c r="W34" i="23"/>
  <c r="CA42" i="11" s="1"/>
  <c r="W33" i="23"/>
  <c r="CA41" i="11" s="1"/>
  <c r="W32" i="23"/>
  <c r="CA40" i="11" s="1"/>
  <c r="K37" i="2"/>
  <c r="U14" i="23"/>
  <c r="BP23" i="11" s="1"/>
  <c r="U16" i="23"/>
  <c r="BP25" i="11" s="1"/>
  <c r="U15" i="23"/>
  <c r="BP24" i="11" s="1"/>
  <c r="K36" i="2"/>
  <c r="U33" i="23"/>
  <c r="BP41" i="11" s="1"/>
  <c r="U34" i="23"/>
  <c r="BP42" i="11" s="1"/>
  <c r="U32" i="23"/>
  <c r="BP40" i="11" s="1"/>
  <c r="L18" i="2"/>
  <c r="L22" i="2" s="1"/>
  <c r="K18" i="2"/>
  <c r="K22" i="2" s="1"/>
  <c r="L21" i="2"/>
  <c r="K21" i="2"/>
  <c r="N70" i="18"/>
  <c r="K27" i="26" l="1"/>
  <c r="G39" i="39"/>
  <c r="H43" i="37"/>
  <c r="T91" i="37" s="1"/>
  <c r="E44" i="39"/>
  <c r="K43" i="39" s="1"/>
  <c r="E40" i="38"/>
  <c r="E45" i="37"/>
  <c r="W24" i="23"/>
  <c r="CA32" i="11" s="1"/>
  <c r="W27" i="23"/>
  <c r="W25" i="23"/>
  <c r="CA33" i="11" s="1"/>
  <c r="W28" i="23"/>
  <c r="W26" i="23"/>
  <c r="CA34" i="11" s="1"/>
  <c r="L39" i="2"/>
  <c r="K41" i="2"/>
  <c r="K49" i="2" s="1"/>
  <c r="K69" i="2" s="1"/>
  <c r="Y32" i="23"/>
  <c r="CL40" i="11" s="1"/>
  <c r="Y34" i="23"/>
  <c r="CL42" i="11" s="1"/>
  <c r="Y33" i="23"/>
  <c r="CL41" i="11" s="1"/>
  <c r="L36" i="2"/>
  <c r="W7" i="23"/>
  <c r="CA15" i="11" s="1"/>
  <c r="W6" i="23"/>
  <c r="CA14" i="11" s="1"/>
  <c r="W9" i="23"/>
  <c r="CA17" i="11" s="1"/>
  <c r="W11" i="23"/>
  <c r="CA19" i="11" s="1"/>
  <c r="W8" i="23"/>
  <c r="CA16" i="11" s="1"/>
  <c r="W10" i="23"/>
  <c r="CA18" i="11" s="1"/>
  <c r="L37" i="2"/>
  <c r="L38" i="2"/>
  <c r="Y22" i="23"/>
  <c r="W16" i="23"/>
  <c r="CA25" i="11" s="1"/>
  <c r="W14" i="23"/>
  <c r="CA23" i="11" s="1"/>
  <c r="W15" i="23"/>
  <c r="CA24" i="11" s="1"/>
  <c r="W17" i="23"/>
  <c r="CA26" i="11" s="1"/>
  <c r="CL45" i="11"/>
  <c r="L40" i="2"/>
  <c r="N56" i="17"/>
  <c r="O70" i="18"/>
  <c r="N51" i="17"/>
  <c r="N57" i="17" s="1"/>
  <c r="O94" i="3" l="1"/>
  <c r="K29" i="26"/>
  <c r="O95" i="3" s="1"/>
  <c r="M86" i="17"/>
  <c r="M85" i="18"/>
  <c r="F40" i="38"/>
  <c r="G40" i="38" s="1"/>
  <c r="E41" i="38" s="1"/>
  <c r="F45" i="37"/>
  <c r="G45" i="37" s="1"/>
  <c r="E45" i="39" s="1"/>
  <c r="Y28" i="23"/>
  <c r="Y27" i="23"/>
  <c r="Y24" i="23"/>
  <c r="CL32" i="11" s="1"/>
  <c r="Y26" i="23"/>
  <c r="CL34" i="11" s="1"/>
  <c r="Y23" i="23"/>
  <c r="CL31" i="11" s="1"/>
  <c r="Y25" i="23"/>
  <c r="CL33" i="11" s="1"/>
  <c r="L41" i="2"/>
  <c r="L49" i="2" s="1"/>
  <c r="L69" i="2" s="1"/>
  <c r="Y17" i="23"/>
  <c r="CL26" i="11" s="1"/>
  <c r="Y14" i="23"/>
  <c r="CL23" i="11" s="1"/>
  <c r="Y16" i="23"/>
  <c r="CL25" i="11" s="1"/>
  <c r="Y15" i="23"/>
  <c r="CL24" i="11" s="1"/>
  <c r="Y9" i="23"/>
  <c r="CL17" i="11" s="1"/>
  <c r="Y6" i="23"/>
  <c r="CL14" i="11" s="1"/>
  <c r="Y11" i="23"/>
  <c r="CL19" i="11" s="1"/>
  <c r="Y7" i="23"/>
  <c r="CL15" i="11" s="1"/>
  <c r="Y10" i="23"/>
  <c r="CL18" i="11" s="1"/>
  <c r="Y8" i="23"/>
  <c r="CL16" i="11" s="1"/>
  <c r="O51" i="17"/>
  <c r="O56" i="17"/>
  <c r="H39" i="38" l="1"/>
  <c r="S91" i="38" s="1"/>
  <c r="F40" i="39"/>
  <c r="F41" i="38"/>
  <c r="G41" i="38" s="1"/>
  <c r="F41" i="39" s="1"/>
  <c r="E46" i="37"/>
  <c r="L3" i="11"/>
  <c r="V3" i="11" s="1"/>
  <c r="AG3" i="11" s="1"/>
  <c r="BC3" i="11" s="1"/>
  <c r="BN3" i="11" s="1"/>
  <c r="BY3" i="11" s="1"/>
  <c r="CJ3" i="11" s="1"/>
  <c r="G41" i="39" l="1"/>
  <c r="G40" i="39"/>
  <c r="H39" i="39" s="1"/>
  <c r="S91" i="39" s="1"/>
  <c r="L39" i="39"/>
  <c r="S95" i="39" s="1"/>
  <c r="L26" i="26" s="1"/>
  <c r="E42" i="38"/>
  <c r="F46" i="37"/>
  <c r="O57" i="18"/>
  <c r="J66" i="17"/>
  <c r="J72" i="17" s="1"/>
  <c r="J66" i="18"/>
  <c r="J72" i="18" s="1"/>
  <c r="J87" i="18" s="1"/>
  <c r="J88" i="17" l="1"/>
  <c r="I100" i="3" s="1"/>
  <c r="I101" i="3" s="1"/>
  <c r="L27" i="26"/>
  <c r="G46" i="37"/>
  <c r="E47" i="37" s="1"/>
  <c r="F42" i="38"/>
  <c r="G42" i="38" s="1"/>
  <c r="Q94" i="3" l="1"/>
  <c r="N86" i="17" s="1"/>
  <c r="L29" i="26"/>
  <c r="Q95" i="3" s="1"/>
  <c r="N85" i="18"/>
  <c r="E43" i="38"/>
  <c r="F43" i="38" s="1"/>
  <c r="G43" i="38" s="1"/>
  <c r="F43" i="39" s="1"/>
  <c r="H41" i="38"/>
  <c r="T91" i="38" s="1"/>
  <c r="F42" i="39"/>
  <c r="H45" i="37"/>
  <c r="U91" i="37" s="1"/>
  <c r="E46" i="39"/>
  <c r="K45" i="39" s="1"/>
  <c r="F47" i="37"/>
  <c r="G47" i="37" s="1"/>
  <c r="E47" i="39" s="1"/>
  <c r="K57" i="17"/>
  <c r="D35" i="10"/>
  <c r="D55" i="10"/>
  <c r="G43" i="39" l="1"/>
  <c r="G42" i="39"/>
  <c r="H41" i="39" s="1"/>
  <c r="T91" i="39" s="1"/>
  <c r="L41" i="39"/>
  <c r="T95" i="39" s="1"/>
  <c r="M26" i="26" s="1"/>
  <c r="E48" i="37"/>
  <c r="F48" i="37" s="1"/>
  <c r="G48" i="37" s="1"/>
  <c r="E48" i="39" s="1"/>
  <c r="K47" i="39" s="1"/>
  <c r="E44" i="38"/>
  <c r="M27" i="26" l="1"/>
  <c r="H47" i="37"/>
  <c r="V91" i="37" s="1"/>
  <c r="E49" i="37"/>
  <c r="F49" i="37" s="1"/>
  <c r="F44" i="38"/>
  <c r="G44" i="38" s="1"/>
  <c r="L57" i="18"/>
  <c r="L57" i="17"/>
  <c r="S94" i="3" l="1"/>
  <c r="M29" i="26"/>
  <c r="S95" i="3" s="1"/>
  <c r="O85" i="18"/>
  <c r="O86" i="17"/>
  <c r="G49" i="37"/>
  <c r="E49" i="39" s="1"/>
  <c r="H43" i="38"/>
  <c r="U91" i="38" s="1"/>
  <c r="F44" i="39"/>
  <c r="E45" i="38"/>
  <c r="F45" i="38" s="1"/>
  <c r="G45" i="38" s="1"/>
  <c r="F45" i="39" s="1"/>
  <c r="M57" i="17"/>
  <c r="E50" i="37" l="1"/>
  <c r="F50" i="37" s="1"/>
  <c r="G50" i="37" s="1"/>
  <c r="E50" i="39" s="1"/>
  <c r="K49" i="39" s="1"/>
  <c r="G45" i="39"/>
  <c r="G44" i="39"/>
  <c r="H43" i="39" s="1"/>
  <c r="U91" i="39" s="1"/>
  <c r="L43" i="39"/>
  <c r="U95" i="39" s="1"/>
  <c r="E46" i="38"/>
  <c r="O57" i="17"/>
  <c r="E51" i="37" l="1"/>
  <c r="F51" i="37" s="1"/>
  <c r="G51" i="37" s="1"/>
  <c r="E51" i="39" s="1"/>
  <c r="H49" i="37"/>
  <c r="W91" i="37" s="1"/>
  <c r="F46" i="38"/>
  <c r="G46" i="38" s="1"/>
  <c r="E52" i="37" l="1"/>
  <c r="H45" i="38"/>
  <c r="V91" i="38" s="1"/>
  <c r="F46" i="39"/>
  <c r="E47" i="38"/>
  <c r="F52" i="37"/>
  <c r="G52" i="37" s="1"/>
  <c r="G46" i="39" l="1"/>
  <c r="H45" i="39" s="1"/>
  <c r="V91" i="39" s="1"/>
  <c r="L45" i="39"/>
  <c r="V95" i="39" s="1"/>
  <c r="H51" i="37"/>
  <c r="X91" i="37" s="1"/>
  <c r="E52" i="39"/>
  <c r="K51" i="39" s="1"/>
  <c r="F47" i="38"/>
  <c r="G47" i="38" s="1"/>
  <c r="F47" i="39" s="1"/>
  <c r="E53" i="37"/>
  <c r="G47" i="39" l="1"/>
  <c r="E48" i="38"/>
  <c r="F53" i="37"/>
  <c r="G53" i="37" s="1"/>
  <c r="E53" i="39" s="1"/>
  <c r="E54" i="37" l="1"/>
  <c r="F54" i="37" s="1"/>
  <c r="F48" i="38"/>
  <c r="G48" i="38" s="1"/>
  <c r="E49" i="38" s="1"/>
  <c r="B50" i="23"/>
  <c r="B71" i="23" s="1"/>
  <c r="B49" i="23"/>
  <c r="B70" i="23" s="1"/>
  <c r="B48" i="23"/>
  <c r="B69" i="23" s="1"/>
  <c r="B46" i="23"/>
  <c r="B67" i="23" s="1"/>
  <c r="B47" i="23"/>
  <c r="B68" i="23" s="1"/>
  <c r="G5" i="23" l="1"/>
  <c r="G6" i="23" s="1"/>
  <c r="F14" i="11" s="1"/>
  <c r="B72" i="23"/>
  <c r="G54" i="37"/>
  <c r="E55" i="37" s="1"/>
  <c r="F55" i="37" s="1"/>
  <c r="G55" i="37" s="1"/>
  <c r="E55" i="39" s="1"/>
  <c r="H47" i="38"/>
  <c r="W91" i="38" s="1"/>
  <c r="F48" i="39"/>
  <c r="F49" i="38"/>
  <c r="G49" i="38" s="1"/>
  <c r="F49" i="39" s="1"/>
  <c r="D16" i="2"/>
  <c r="G38" i="23"/>
  <c r="F45" i="11" s="1"/>
  <c r="G45" i="11" s="1"/>
  <c r="D14" i="2"/>
  <c r="G22" i="23"/>
  <c r="G23" i="23" s="1"/>
  <c r="D15" i="2"/>
  <c r="G31" i="23"/>
  <c r="G13" i="23"/>
  <c r="D13" i="2"/>
  <c r="B51" i="23"/>
  <c r="D12" i="2"/>
  <c r="G14" i="11" l="1"/>
  <c r="I14" i="11"/>
  <c r="G49" i="39"/>
  <c r="G48" i="39"/>
  <c r="H47" i="39" s="1"/>
  <c r="W91" i="39" s="1"/>
  <c r="L47" i="39"/>
  <c r="W95" i="39" s="1"/>
  <c r="E56" i="37"/>
  <c r="F56" i="37" s="1"/>
  <c r="G56" i="37" s="1"/>
  <c r="E56" i="39" s="1"/>
  <c r="K55" i="39" s="1"/>
  <c r="G10" i="23"/>
  <c r="F18" i="11" s="1"/>
  <c r="H53" i="37"/>
  <c r="Y91" i="37" s="1"/>
  <c r="E54" i="39"/>
  <c r="K53" i="39" s="1"/>
  <c r="E50" i="38"/>
  <c r="G26" i="23"/>
  <c r="F34" i="11" s="1"/>
  <c r="G27" i="23"/>
  <c r="F35" i="11" s="1"/>
  <c r="G24" i="23"/>
  <c r="F32" i="11" s="1"/>
  <c r="G28" i="23"/>
  <c r="F36" i="11" s="1"/>
  <c r="G25" i="23"/>
  <c r="F33" i="11" s="1"/>
  <c r="F31" i="11"/>
  <c r="G34" i="23"/>
  <c r="F42" i="11" s="1"/>
  <c r="G33" i="23"/>
  <c r="F41" i="11" s="1"/>
  <c r="G32" i="23"/>
  <c r="F40" i="11" s="1"/>
  <c r="D17" i="2"/>
  <c r="D50" i="23"/>
  <c r="G19" i="23"/>
  <c r="F28" i="11" s="1"/>
  <c r="G16" i="23"/>
  <c r="F25" i="11" s="1"/>
  <c r="G17" i="23"/>
  <c r="F26" i="11" s="1"/>
  <c r="G18" i="23"/>
  <c r="F27" i="11" s="1"/>
  <c r="G14" i="23"/>
  <c r="F23" i="11" s="1"/>
  <c r="G15" i="23"/>
  <c r="F24" i="11" s="1"/>
  <c r="G11" i="23"/>
  <c r="F19" i="11" s="1"/>
  <c r="G7" i="23"/>
  <c r="F15" i="11" s="1"/>
  <c r="G8" i="23"/>
  <c r="F16" i="11" s="1"/>
  <c r="G9" i="23"/>
  <c r="F17" i="11" s="1"/>
  <c r="D18" i="2" l="1"/>
  <c r="E19" i="2"/>
  <c r="D71" i="23"/>
  <c r="F16" i="2"/>
  <c r="D21" i="2"/>
  <c r="D24" i="2" s="1"/>
  <c r="E12" i="10"/>
  <c r="H55" i="37"/>
  <c r="Z91" i="37" s="1"/>
  <c r="E57" i="37"/>
  <c r="F57" i="37" s="1"/>
  <c r="G57" i="37" s="1"/>
  <c r="E57" i="39" s="1"/>
  <c r="F50" i="38"/>
  <c r="G50" i="38" s="1"/>
  <c r="I32" i="11"/>
  <c r="J32" i="11" s="1"/>
  <c r="G32" i="11"/>
  <c r="I31" i="11"/>
  <c r="J31" i="11" s="1"/>
  <c r="G31" i="11"/>
  <c r="I35" i="11"/>
  <c r="J35" i="11" s="1"/>
  <c r="G35" i="11"/>
  <c r="I36" i="11"/>
  <c r="J36" i="11" s="1"/>
  <c r="G36" i="11"/>
  <c r="I33" i="11"/>
  <c r="J33" i="11" s="1"/>
  <c r="G33" i="11"/>
  <c r="I34" i="11"/>
  <c r="J34" i="11" s="1"/>
  <c r="G34" i="11"/>
  <c r="I40" i="11"/>
  <c r="J40" i="11" s="1"/>
  <c r="G40" i="11"/>
  <c r="G41" i="11"/>
  <c r="I41" i="11"/>
  <c r="J41" i="11" s="1"/>
  <c r="I42" i="11"/>
  <c r="J42" i="11" s="1"/>
  <c r="G42" i="11"/>
  <c r="I18" i="11"/>
  <c r="J18" i="11" s="1"/>
  <c r="G18" i="11"/>
  <c r="K38" i="23"/>
  <c r="Z45" i="11" s="1"/>
  <c r="AA45" i="11" s="1"/>
  <c r="G26" i="11"/>
  <c r="I26" i="11"/>
  <c r="J26" i="11" s="1"/>
  <c r="G24" i="11"/>
  <c r="I24" i="11"/>
  <c r="J24" i="11" s="1"/>
  <c r="I23" i="11"/>
  <c r="J23" i="11" s="1"/>
  <c r="G23" i="11"/>
  <c r="I28" i="11"/>
  <c r="J28" i="11" s="1"/>
  <c r="G28" i="11"/>
  <c r="I25" i="11"/>
  <c r="J25" i="11" s="1"/>
  <c r="G25" i="11"/>
  <c r="I16" i="11"/>
  <c r="J16" i="11" s="1"/>
  <c r="G16" i="11"/>
  <c r="G19" i="11"/>
  <c r="I19" i="11"/>
  <c r="J19" i="11" s="1"/>
  <c r="G15" i="11"/>
  <c r="I15" i="11"/>
  <c r="J15" i="11" s="1"/>
  <c r="I17" i="11"/>
  <c r="J17" i="11" s="1"/>
  <c r="G17" i="11"/>
  <c r="J14" i="11"/>
  <c r="H49" i="38" l="1"/>
  <c r="X91" i="38" s="1"/>
  <c r="F50" i="39"/>
  <c r="E58" i="37"/>
  <c r="E51" i="38"/>
  <c r="G50" i="39" l="1"/>
  <c r="H49" i="39" s="1"/>
  <c r="X91" i="39" s="1"/>
  <c r="L49" i="39"/>
  <c r="X95" i="39" s="1"/>
  <c r="F58" i="37"/>
  <c r="G58" i="37" s="1"/>
  <c r="F51" i="38"/>
  <c r="G51" i="38" s="1"/>
  <c r="F51" i="39" s="1"/>
  <c r="J48" i="11"/>
  <c r="K14" i="11" s="1"/>
  <c r="G51" i="39" l="1"/>
  <c r="E58" i="39"/>
  <c r="K57" i="39" s="1"/>
  <c r="H57" i="37"/>
  <c r="AA91" i="37" s="1"/>
  <c r="E59" i="37"/>
  <c r="F59" i="37" s="1"/>
  <c r="G59" i="37" s="1"/>
  <c r="E59" i="39" s="1"/>
  <c r="E52" i="38"/>
  <c r="K35" i="11"/>
  <c r="K33" i="11"/>
  <c r="K24" i="11"/>
  <c r="K25" i="11"/>
  <c r="K36" i="11"/>
  <c r="K26" i="11"/>
  <c r="K32" i="11"/>
  <c r="K18" i="11"/>
  <c r="K34" i="11"/>
  <c r="K28" i="11"/>
  <c r="K23" i="11"/>
  <c r="K42" i="11"/>
  <c r="K31" i="11"/>
  <c r="K40" i="11"/>
  <c r="K41" i="11"/>
  <c r="K15" i="11"/>
  <c r="K19" i="11"/>
  <c r="K17" i="11"/>
  <c r="K16" i="11"/>
  <c r="E60" i="37" l="1"/>
  <c r="F60" i="37" s="1"/>
  <c r="G60" i="37" s="1"/>
  <c r="F52" i="38"/>
  <c r="G52" i="38" s="1"/>
  <c r="K48" i="11"/>
  <c r="H59" i="37" l="1"/>
  <c r="AB91" i="37" s="1"/>
  <c r="E60" i="39"/>
  <c r="K59" i="39" s="1"/>
  <c r="H51" i="38"/>
  <c r="Y91" i="38" s="1"/>
  <c r="F52" i="39"/>
  <c r="E53" i="38"/>
  <c r="F53" i="38" s="1"/>
  <c r="G53" i="38" s="1"/>
  <c r="F53" i="39" s="1"/>
  <c r="E61" i="37"/>
  <c r="G52" i="39" l="1"/>
  <c r="H51" i="39" s="1"/>
  <c r="Y91" i="39" s="1"/>
  <c r="L51" i="39"/>
  <c r="Y95" i="39" s="1"/>
  <c r="G53" i="39"/>
  <c r="E54" i="38"/>
  <c r="F61" i="37"/>
  <c r="G61" i="37" s="1"/>
  <c r="E62" i="37" l="1"/>
  <c r="F62" i="37" s="1"/>
  <c r="G62" i="37" s="1"/>
  <c r="E62" i="39" s="1"/>
  <c r="E61" i="39"/>
  <c r="F54" i="38"/>
  <c r="G54" i="38" s="1"/>
  <c r="K61" i="39" l="1"/>
  <c r="H61" i="37"/>
  <c r="AC91" i="37" s="1"/>
  <c r="H53" i="38"/>
  <c r="Z91" i="38" s="1"/>
  <c r="F54" i="39"/>
  <c r="E63" i="37"/>
  <c r="F63" i="37" s="1"/>
  <c r="G63" i="37" s="1"/>
  <c r="E63" i="39" s="1"/>
  <c r="E55" i="38"/>
  <c r="G54" i="39" l="1"/>
  <c r="H53" i="39" s="1"/>
  <c r="Z91" i="39" s="1"/>
  <c r="L53" i="39"/>
  <c r="F55" i="38"/>
  <c r="G55" i="38" s="1"/>
  <c r="F55" i="39" s="1"/>
  <c r="E64" i="37"/>
  <c r="I27" i="11"/>
  <c r="F48" i="11"/>
  <c r="G27" i="11"/>
  <c r="D46" i="23"/>
  <c r="D67" i="23" l="1"/>
  <c r="F12" i="2"/>
  <c r="G48" i="11"/>
  <c r="G55" i="39"/>
  <c r="J27" i="11"/>
  <c r="K27" i="11" s="1"/>
  <c r="I48" i="11"/>
  <c r="K5" i="23"/>
  <c r="E56" i="38"/>
  <c r="F64" i="37"/>
  <c r="G64" i="37" s="1"/>
  <c r="K8" i="23" l="1"/>
  <c r="Z16" i="11" s="1"/>
  <c r="AA16" i="11" s="1"/>
  <c r="K6" i="23"/>
  <c r="Z14" i="11" s="1"/>
  <c r="AC14" i="11" s="1"/>
  <c r="B49" i="11"/>
  <c r="C52" i="11" s="1"/>
  <c r="H14" i="11"/>
  <c r="H45" i="11"/>
  <c r="H40" i="11"/>
  <c r="H32" i="11"/>
  <c r="H15" i="11"/>
  <c r="H42" i="11"/>
  <c r="H33" i="11"/>
  <c r="H17" i="11"/>
  <c r="H34" i="11"/>
  <c r="H19" i="11"/>
  <c r="H16" i="11"/>
  <c r="H31" i="11"/>
  <c r="H35" i="11"/>
  <c r="H23" i="11"/>
  <c r="H41" i="11"/>
  <c r="H26" i="11"/>
  <c r="H24" i="11"/>
  <c r="H36" i="11"/>
  <c r="H28" i="11"/>
  <c r="H18" i="11"/>
  <c r="H25" i="11"/>
  <c r="H27" i="11"/>
  <c r="AC16" i="11"/>
  <c r="AD16" i="11" s="1"/>
  <c r="K9" i="23"/>
  <c r="Z17" i="11" s="1"/>
  <c r="AC17" i="11" s="1"/>
  <c r="AD17" i="11" s="1"/>
  <c r="K10" i="23"/>
  <c r="Z18" i="11" s="1"/>
  <c r="AA18" i="11" s="1"/>
  <c r="K7" i="23"/>
  <c r="Z15" i="11" s="1"/>
  <c r="K11" i="23"/>
  <c r="Z19" i="11" s="1"/>
  <c r="AA19" i="11" s="1"/>
  <c r="H63" i="37"/>
  <c r="AD91" i="37" s="1"/>
  <c r="E64" i="39"/>
  <c r="K63" i="39" s="1"/>
  <c r="F56" i="38"/>
  <c r="G56" i="38" s="1"/>
  <c r="E57" i="38" s="1"/>
  <c r="E65" i="37"/>
  <c r="D47" i="23"/>
  <c r="AA15" i="11" l="1"/>
  <c r="AC15" i="11"/>
  <c r="D68" i="23"/>
  <c r="F13" i="2"/>
  <c r="H48" i="11"/>
  <c r="C51" i="11"/>
  <c r="D113" i="11"/>
  <c r="AA14" i="11"/>
  <c r="AA17" i="11"/>
  <c r="AD15" i="11"/>
  <c r="AC18" i="11"/>
  <c r="AD18" i="11" s="1"/>
  <c r="AC19" i="11"/>
  <c r="AD19" i="11" s="1"/>
  <c r="H55" i="38"/>
  <c r="AA91" i="38" s="1"/>
  <c r="F56" i="39"/>
  <c r="F57" i="38"/>
  <c r="G57" i="38" s="1"/>
  <c r="F57" i="39" s="1"/>
  <c r="F65" i="37"/>
  <c r="G65" i="37" s="1"/>
  <c r="E65" i="39" s="1"/>
  <c r="K13" i="23"/>
  <c r="G57" i="39" l="1"/>
  <c r="G56" i="39"/>
  <c r="H55" i="39" s="1"/>
  <c r="AA91" i="39" s="1"/>
  <c r="L55" i="39"/>
  <c r="AD14" i="11"/>
  <c r="E58" i="38"/>
  <c r="E66" i="37"/>
  <c r="K18" i="23"/>
  <c r="Z27" i="11" s="1"/>
  <c r="K19" i="23"/>
  <c r="Z28" i="11" s="1"/>
  <c r="K16" i="23"/>
  <c r="Z25" i="11" s="1"/>
  <c r="K14" i="23"/>
  <c r="Z23" i="11" s="1"/>
  <c r="K15" i="23"/>
  <c r="Z24" i="11" s="1"/>
  <c r="K17" i="23"/>
  <c r="Z26" i="11" s="1"/>
  <c r="F58" i="38" l="1"/>
  <c r="G58" i="38" s="1"/>
  <c r="E59" i="38" s="1"/>
  <c r="F66" i="37"/>
  <c r="G66" i="37" s="1"/>
  <c r="E67" i="37" s="1"/>
  <c r="AC25" i="11"/>
  <c r="AD25" i="11" s="1"/>
  <c r="AA25" i="11"/>
  <c r="AC26" i="11"/>
  <c r="AD26" i="11" s="1"/>
  <c r="AA26" i="11"/>
  <c r="AC28" i="11"/>
  <c r="AD28" i="11" s="1"/>
  <c r="AA28" i="11"/>
  <c r="AA24" i="11"/>
  <c r="AC24" i="11"/>
  <c r="AD24" i="11" s="1"/>
  <c r="AA27" i="11"/>
  <c r="AC27" i="11"/>
  <c r="AD27" i="11" s="1"/>
  <c r="AA23" i="11"/>
  <c r="AC23" i="11"/>
  <c r="H65" i="37" l="1"/>
  <c r="AE91" i="37" s="1"/>
  <c r="E66" i="39"/>
  <c r="K65" i="39" s="1"/>
  <c r="H57" i="38"/>
  <c r="AB91" i="38" s="1"/>
  <c r="F58" i="39"/>
  <c r="F59" i="38"/>
  <c r="G59" i="38" s="1"/>
  <c r="F59" i="39" s="1"/>
  <c r="F67" i="37"/>
  <c r="G67" i="37" s="1"/>
  <c r="E67" i="39" s="1"/>
  <c r="AD23" i="11"/>
  <c r="D49" i="23"/>
  <c r="D70" i="23" l="1"/>
  <c r="F15" i="2"/>
  <c r="G58" i="39"/>
  <c r="H57" i="39" s="1"/>
  <c r="AB91" i="39" s="1"/>
  <c r="L57" i="39"/>
  <c r="G59" i="39"/>
  <c r="K31" i="23"/>
  <c r="K34" i="23" s="1"/>
  <c r="Z42" i="11" s="1"/>
  <c r="E60" i="38"/>
  <c r="E68" i="37"/>
  <c r="K33" i="23" l="1"/>
  <c r="Z41" i="11" s="1"/>
  <c r="AA41" i="11" s="1"/>
  <c r="K32" i="23"/>
  <c r="Z40" i="11" s="1"/>
  <c r="AC40" i="11" s="1"/>
  <c r="AD40" i="11" s="1"/>
  <c r="AC42" i="11"/>
  <c r="AD42" i="11" s="1"/>
  <c r="AA42" i="11"/>
  <c r="F60" i="38"/>
  <c r="G60" i="38" s="1"/>
  <c r="E61" i="38" s="1"/>
  <c r="F68" i="37"/>
  <c r="G68" i="37" s="1"/>
  <c r="D48" i="23"/>
  <c r="D69" i="23" s="1"/>
  <c r="D72" i="23" s="1"/>
  <c r="AA40" i="11" l="1"/>
  <c r="AC41" i="11"/>
  <c r="AD41" i="11" s="1"/>
  <c r="F14" i="2"/>
  <c r="F17" i="2" s="1"/>
  <c r="H59" i="38"/>
  <c r="AC91" i="38" s="1"/>
  <c r="F60" i="39"/>
  <c r="H67" i="37"/>
  <c r="AF91" i="37" s="1"/>
  <c r="E68" i="39"/>
  <c r="K67" i="39" s="1"/>
  <c r="F61" i="38"/>
  <c r="G61" i="38" s="1"/>
  <c r="F61" i="39" s="1"/>
  <c r="E69" i="37"/>
  <c r="D51" i="23"/>
  <c r="K22" i="23"/>
  <c r="F19" i="2" l="1"/>
  <c r="E14" i="10"/>
  <c r="G48" i="23"/>
  <c r="G69" i="23" s="1"/>
  <c r="F21" i="2"/>
  <c r="F24" i="2" s="1"/>
  <c r="F18" i="2"/>
  <c r="E49" i="23"/>
  <c r="E70" i="23" s="1"/>
  <c r="G61" i="39"/>
  <c r="G60" i="39"/>
  <c r="H59" i="39" s="1"/>
  <c r="AC91" i="39" s="1"/>
  <c r="L59" i="39"/>
  <c r="E48" i="23"/>
  <c r="H48" i="23"/>
  <c r="H69" i="23" s="1"/>
  <c r="I48" i="23"/>
  <c r="I69" i="23" s="1"/>
  <c r="J48" i="23"/>
  <c r="J69" i="23" s="1"/>
  <c r="G49" i="23"/>
  <c r="G70" i="23" s="1"/>
  <c r="H49" i="23"/>
  <c r="H70" i="23" s="1"/>
  <c r="J49" i="23"/>
  <c r="J70" i="23" s="1"/>
  <c r="I49" i="23"/>
  <c r="I70" i="23" s="1"/>
  <c r="G50" i="23"/>
  <c r="G71" i="23" s="1"/>
  <c r="E50" i="23"/>
  <c r="E71" i="23" s="1"/>
  <c r="H50" i="23"/>
  <c r="H71" i="23" s="1"/>
  <c r="I50" i="23"/>
  <c r="I71" i="23" s="1"/>
  <c r="J50" i="23"/>
  <c r="J71" i="23" s="1"/>
  <c r="E62" i="38"/>
  <c r="F69" i="37"/>
  <c r="G69" i="37" s="1"/>
  <c r="E69" i="39" s="1"/>
  <c r="K25" i="23"/>
  <c r="Z33" i="11" s="1"/>
  <c r="K28" i="23"/>
  <c r="Z36" i="11" s="1"/>
  <c r="K24" i="23"/>
  <c r="Z32" i="11" s="1"/>
  <c r="K23" i="23"/>
  <c r="Z31" i="11" s="1"/>
  <c r="K27" i="23"/>
  <c r="Z35" i="11" s="1"/>
  <c r="K26" i="23"/>
  <c r="Z34" i="11" s="1"/>
  <c r="E69" i="23" l="1"/>
  <c r="J46" i="23"/>
  <c r="J67" i="23" s="1"/>
  <c r="E47" i="23"/>
  <c r="E68" i="23" s="1"/>
  <c r="P38" i="23"/>
  <c r="AK45" i="11" s="1"/>
  <c r="AL45" i="11" s="1"/>
  <c r="P22" i="23"/>
  <c r="V22" i="23"/>
  <c r="P31" i="23"/>
  <c r="T22" i="23"/>
  <c r="V38" i="23"/>
  <c r="BR45" i="11" s="1"/>
  <c r="BS45" i="11" s="1"/>
  <c r="V31" i="23"/>
  <c r="T38" i="23"/>
  <c r="BG45" i="11" s="1"/>
  <c r="BH45" i="11" s="1"/>
  <c r="X38" i="23"/>
  <c r="CC45" i="11" s="1"/>
  <c r="X31" i="23"/>
  <c r="Z22" i="23"/>
  <c r="Z31" i="23"/>
  <c r="Z38" i="23"/>
  <c r="CN45" i="11" s="1"/>
  <c r="CO45" i="11" s="1"/>
  <c r="G16" i="2"/>
  <c r="Z48" i="11"/>
  <c r="I46" i="23"/>
  <c r="I67" i="23" s="1"/>
  <c r="H46" i="23"/>
  <c r="G46" i="23"/>
  <c r="G67" i="23" s="1"/>
  <c r="T31" i="23"/>
  <c r="X22" i="23"/>
  <c r="I47" i="23"/>
  <c r="I68" i="23" s="1"/>
  <c r="J47" i="23"/>
  <c r="J68" i="23" s="1"/>
  <c r="J72" i="23" s="1"/>
  <c r="G15" i="2"/>
  <c r="G14" i="2"/>
  <c r="H47" i="23"/>
  <c r="H68" i="23" s="1"/>
  <c r="G47" i="23"/>
  <c r="G68" i="23" s="1"/>
  <c r="F62" i="38"/>
  <c r="G62" i="38" s="1"/>
  <c r="E70" i="37"/>
  <c r="AA32" i="11"/>
  <c r="AC32" i="11"/>
  <c r="AD32" i="11" s="1"/>
  <c r="AA31" i="11"/>
  <c r="AC31" i="11"/>
  <c r="AC34" i="11"/>
  <c r="AD34" i="11" s="1"/>
  <c r="AA34" i="11"/>
  <c r="AC36" i="11"/>
  <c r="AD36" i="11" s="1"/>
  <c r="AA36" i="11"/>
  <c r="AC35" i="11"/>
  <c r="AD35" i="11" s="1"/>
  <c r="AA35" i="11"/>
  <c r="AA33" i="11"/>
  <c r="AC33" i="11"/>
  <c r="AD33" i="11" s="1"/>
  <c r="P25" i="23" l="1"/>
  <c r="AK33" i="11" s="1"/>
  <c r="P23" i="23"/>
  <c r="H67" i="23"/>
  <c r="V5" i="23" s="1"/>
  <c r="V10" i="23" s="1"/>
  <c r="BR18" i="11" s="1"/>
  <c r="P32" i="23"/>
  <c r="AK40" i="11" s="1"/>
  <c r="P33" i="23"/>
  <c r="AK41" i="11" s="1"/>
  <c r="G72" i="23"/>
  <c r="H72" i="23"/>
  <c r="P34" i="23"/>
  <c r="AK42" i="11" s="1"/>
  <c r="P28" i="23"/>
  <c r="AK36" i="11" s="1"/>
  <c r="AL36" i="11" s="1"/>
  <c r="I72" i="23"/>
  <c r="P27" i="23"/>
  <c r="AK35" i="11" s="1"/>
  <c r="AL35" i="11" s="1"/>
  <c r="P24" i="23"/>
  <c r="AK32" i="11" s="1"/>
  <c r="P26" i="23"/>
  <c r="AK34" i="11" s="1"/>
  <c r="AK31" i="11"/>
  <c r="P13" i="23"/>
  <c r="P14" i="23" s="1"/>
  <c r="AK23" i="11" s="1"/>
  <c r="T13" i="23"/>
  <c r="X13" i="23"/>
  <c r="X15" i="23" s="1"/>
  <c r="CC24" i="11" s="1"/>
  <c r="Z13" i="23"/>
  <c r="Z15" i="23" s="1"/>
  <c r="CN24" i="11" s="1"/>
  <c r="AC48" i="11"/>
  <c r="T5" i="23"/>
  <c r="T11" i="23" s="1"/>
  <c r="BG19" i="11" s="1"/>
  <c r="AA48" i="11"/>
  <c r="CD45" i="11"/>
  <c r="J51" i="23"/>
  <c r="X5" i="23"/>
  <c r="X8" i="23" s="1"/>
  <c r="CC16" i="11" s="1"/>
  <c r="Z5" i="23"/>
  <c r="Z7" i="23" s="1"/>
  <c r="CN15" i="11" s="1"/>
  <c r="H51" i="23"/>
  <c r="V13" i="23"/>
  <c r="I51" i="23"/>
  <c r="G51" i="23"/>
  <c r="G13" i="2"/>
  <c r="H61" i="38"/>
  <c r="AD91" i="38" s="1"/>
  <c r="F62" i="39"/>
  <c r="V32" i="23"/>
  <c r="BR40" i="11" s="1"/>
  <c r="V33" i="23"/>
  <c r="BR41" i="11" s="1"/>
  <c r="V34" i="23"/>
  <c r="BR42" i="11" s="1"/>
  <c r="X24" i="23"/>
  <c r="CC32" i="11" s="1"/>
  <c r="X27" i="23"/>
  <c r="X25" i="23"/>
  <c r="CC33" i="11" s="1"/>
  <c r="X26" i="23"/>
  <c r="CC34" i="11" s="1"/>
  <c r="X23" i="23"/>
  <c r="CC31" i="11" s="1"/>
  <c r="X28" i="23"/>
  <c r="Z34" i="23"/>
  <c r="CN42" i="11" s="1"/>
  <c r="Z32" i="23"/>
  <c r="CN40" i="11" s="1"/>
  <c r="Z33" i="23"/>
  <c r="CN41" i="11" s="1"/>
  <c r="Z27" i="23"/>
  <c r="Z23" i="23"/>
  <c r="CN31" i="11" s="1"/>
  <c r="Z25" i="23"/>
  <c r="CN33" i="11" s="1"/>
  <c r="Z24" i="23"/>
  <c r="CN32" i="11" s="1"/>
  <c r="Z26" i="23"/>
  <c r="CN34" i="11" s="1"/>
  <c r="Z28" i="23"/>
  <c r="X34" i="23"/>
  <c r="CC42" i="11" s="1"/>
  <c r="X32" i="23"/>
  <c r="CC40" i="11" s="1"/>
  <c r="X33" i="23"/>
  <c r="CC41" i="11" s="1"/>
  <c r="T28" i="23"/>
  <c r="T26" i="23"/>
  <c r="BG34" i="11" s="1"/>
  <c r="T24" i="23"/>
  <c r="BG32" i="11" s="1"/>
  <c r="T25" i="23"/>
  <c r="BG33" i="11" s="1"/>
  <c r="T27" i="23"/>
  <c r="T23" i="23"/>
  <c r="BG31" i="11" s="1"/>
  <c r="T34" i="23"/>
  <c r="BG42" i="11" s="1"/>
  <c r="T32" i="23"/>
  <c r="BG40" i="11" s="1"/>
  <c r="T33" i="23"/>
  <c r="BG41" i="11" s="1"/>
  <c r="V23" i="23"/>
  <c r="BR31" i="11" s="1"/>
  <c r="V26" i="23"/>
  <c r="BR34" i="11" s="1"/>
  <c r="V25" i="23"/>
  <c r="BR33" i="11" s="1"/>
  <c r="V28" i="23"/>
  <c r="V27" i="23"/>
  <c r="V24" i="23"/>
  <c r="BR32" i="11" s="1"/>
  <c r="E63" i="38"/>
  <c r="F70" i="37"/>
  <c r="G70" i="37" s="1"/>
  <c r="AD31" i="11"/>
  <c r="AD48" i="11" s="1"/>
  <c r="AN31" i="11" l="1"/>
  <c r="P19" i="23"/>
  <c r="AK28" i="11" s="1"/>
  <c r="AL28" i="11" s="1"/>
  <c r="P17" i="23"/>
  <c r="AK26" i="11" s="1"/>
  <c r="AN26" i="11" s="1"/>
  <c r="AO26" i="11" s="1"/>
  <c r="P15" i="23"/>
  <c r="AK24" i="11" s="1"/>
  <c r="AN24" i="11" s="1"/>
  <c r="AO24" i="11" s="1"/>
  <c r="P16" i="23"/>
  <c r="AK25" i="11" s="1"/>
  <c r="AN25" i="11" s="1"/>
  <c r="AO25" i="11" s="1"/>
  <c r="P18" i="23"/>
  <c r="AK27" i="11" s="1"/>
  <c r="AL27" i="11" s="1"/>
  <c r="V49" i="11"/>
  <c r="G62" i="39"/>
  <c r="H61" i="39" s="1"/>
  <c r="AD91" i="39" s="1"/>
  <c r="L61" i="39"/>
  <c r="X7" i="23"/>
  <c r="CC15" i="11" s="1"/>
  <c r="CD15" i="11" s="1"/>
  <c r="Z9" i="23"/>
  <c r="CN17" i="11" s="1"/>
  <c r="CR17" i="11" s="1"/>
  <c r="CS17" i="11" s="1"/>
  <c r="Z11" i="23"/>
  <c r="CN19" i="11" s="1"/>
  <c r="CO19" i="11" s="1"/>
  <c r="Z10" i="23"/>
  <c r="CN18" i="11" s="1"/>
  <c r="CR18" i="11" s="1"/>
  <c r="CS18" i="11" s="1"/>
  <c r="Z6" i="23"/>
  <c r="CN14" i="11" s="1"/>
  <c r="CO14" i="11" s="1"/>
  <c r="V11" i="23"/>
  <c r="BR19" i="11" s="1"/>
  <c r="BV19" i="11" s="1"/>
  <c r="BW19" i="11" s="1"/>
  <c r="X6" i="23"/>
  <c r="CC14" i="11" s="1"/>
  <c r="T9" i="23"/>
  <c r="BG17" i="11" s="1"/>
  <c r="BH17" i="11" s="1"/>
  <c r="X11" i="23"/>
  <c r="CC19" i="11" s="1"/>
  <c r="CD19" i="11" s="1"/>
  <c r="T10" i="23"/>
  <c r="BG18" i="11" s="1"/>
  <c r="BH18" i="11" s="1"/>
  <c r="T8" i="23"/>
  <c r="BG16" i="11" s="1"/>
  <c r="BK16" i="11" s="1"/>
  <c r="BL16" i="11" s="1"/>
  <c r="T6" i="23"/>
  <c r="BG14" i="11" s="1"/>
  <c r="T7" i="23"/>
  <c r="BG15" i="11" s="1"/>
  <c r="BK15" i="11" s="1"/>
  <c r="BL15" i="11" s="1"/>
  <c r="X10" i="23"/>
  <c r="CC18" i="11" s="1"/>
  <c r="CD18" i="11" s="1"/>
  <c r="V6" i="23"/>
  <c r="BR14" i="11" s="1"/>
  <c r="X9" i="23"/>
  <c r="CC17" i="11" s="1"/>
  <c r="CG17" i="11" s="1"/>
  <c r="CH17" i="11" s="1"/>
  <c r="X14" i="23"/>
  <c r="CC23" i="11" s="1"/>
  <c r="CD23" i="11" s="1"/>
  <c r="V7" i="23"/>
  <c r="BR15" i="11" s="1"/>
  <c r="BS15" i="11" s="1"/>
  <c r="X16" i="23"/>
  <c r="CC25" i="11" s="1"/>
  <c r="CG25" i="11" s="1"/>
  <c r="CH25" i="11" s="1"/>
  <c r="V9" i="23"/>
  <c r="BR17" i="11" s="1"/>
  <c r="BS17" i="11" s="1"/>
  <c r="V8" i="23"/>
  <c r="BR16" i="11" s="1"/>
  <c r="BV16" i="11" s="1"/>
  <c r="BW16" i="11" s="1"/>
  <c r="Z8" i="23"/>
  <c r="CN16" i="11" s="1"/>
  <c r="CO16" i="11" s="1"/>
  <c r="X17" i="23"/>
  <c r="CC26" i="11" s="1"/>
  <c r="CD26" i="11" s="1"/>
  <c r="AB33" i="11"/>
  <c r="F52" i="2"/>
  <c r="Z14" i="23"/>
  <c r="CN23" i="11" s="1"/>
  <c r="CR23" i="11" s="1"/>
  <c r="CS23" i="11" s="1"/>
  <c r="Z17" i="23"/>
  <c r="CN26" i="11" s="1"/>
  <c r="CR26" i="11" s="1"/>
  <c r="CS26" i="11" s="1"/>
  <c r="Z16" i="23"/>
  <c r="CN25" i="11" s="1"/>
  <c r="CR25" i="11" s="1"/>
  <c r="CS25" i="11" s="1"/>
  <c r="H69" i="37"/>
  <c r="AG91" i="37" s="1"/>
  <c r="E70" i="39"/>
  <c r="K69" i="39" s="1"/>
  <c r="AN42" i="11"/>
  <c r="AO42" i="11" s="1"/>
  <c r="AL42" i="11"/>
  <c r="AL40" i="11"/>
  <c r="AN40" i="11"/>
  <c r="AO40" i="11" s="1"/>
  <c r="BV34" i="11"/>
  <c r="BW34" i="11" s="1"/>
  <c r="BS34" i="11"/>
  <c r="BH41" i="11"/>
  <c r="BK41" i="11"/>
  <c r="BL41" i="11" s="1"/>
  <c r="AN34" i="11"/>
  <c r="AO34" i="11" s="1"/>
  <c r="AL34" i="11"/>
  <c r="BV31" i="11"/>
  <c r="BW31" i="11" s="1"/>
  <c r="BS31" i="11"/>
  <c r="AN28" i="11"/>
  <c r="AO28" i="11" s="1"/>
  <c r="BK40" i="11"/>
  <c r="BL40" i="11" s="1"/>
  <c r="BH40" i="11"/>
  <c r="CG41" i="11"/>
  <c r="CH41" i="11" s="1"/>
  <c r="CD41" i="11"/>
  <c r="BS42" i="11"/>
  <c r="BV42" i="11"/>
  <c r="BW42" i="11" s="1"/>
  <c r="AN36" i="11"/>
  <c r="AO36" i="11" s="1"/>
  <c r="AN33" i="11"/>
  <c r="AO33" i="11" s="1"/>
  <c r="AL33" i="11"/>
  <c r="AN23" i="11"/>
  <c r="AL23" i="11"/>
  <c r="BH42" i="11"/>
  <c r="BK42" i="11"/>
  <c r="BL42" i="11" s="1"/>
  <c r="BH32" i="11"/>
  <c r="BK32" i="11"/>
  <c r="BL32" i="11" s="1"/>
  <c r="V15" i="23"/>
  <c r="BR24" i="11" s="1"/>
  <c r="V17" i="23"/>
  <c r="BR26" i="11" s="1"/>
  <c r="V16" i="23"/>
  <c r="BR25" i="11" s="1"/>
  <c r="V14" i="23"/>
  <c r="BR23" i="11" s="1"/>
  <c r="BH19" i="11"/>
  <c r="BK19" i="11"/>
  <c r="BL19" i="11" s="1"/>
  <c r="CG40" i="11"/>
  <c r="CH40" i="11" s="1"/>
  <c r="CD40" i="11"/>
  <c r="CO32" i="11"/>
  <c r="CR32" i="11"/>
  <c r="CS32" i="11" s="1"/>
  <c r="CO41" i="11"/>
  <c r="CR41" i="11"/>
  <c r="CS41" i="11" s="1"/>
  <c r="CD31" i="11"/>
  <c r="CG31" i="11"/>
  <c r="CH31" i="11" s="1"/>
  <c r="CG32" i="11"/>
  <c r="CH32" i="11" s="1"/>
  <c r="CD32" i="11"/>
  <c r="BV41" i="11"/>
  <c r="BW41" i="11" s="1"/>
  <c r="BS41" i="11"/>
  <c r="AL31" i="11"/>
  <c r="AO31" i="11"/>
  <c r="BV32" i="11"/>
  <c r="BW32" i="11" s="1"/>
  <c r="BS32" i="11"/>
  <c r="T14" i="23"/>
  <c r="BG23" i="11" s="1"/>
  <c r="T16" i="23"/>
  <c r="BG25" i="11" s="1"/>
  <c r="T15" i="23"/>
  <c r="BG24" i="11" s="1"/>
  <c r="T17" i="23"/>
  <c r="BG26" i="11" s="1"/>
  <c r="CR24" i="11"/>
  <c r="CS24" i="11" s="1"/>
  <c r="CO24" i="11"/>
  <c r="CO31" i="11"/>
  <c r="CR31" i="11"/>
  <c r="CS31" i="11" s="1"/>
  <c r="CR42" i="11"/>
  <c r="CS42" i="11" s="1"/>
  <c r="CO42" i="11"/>
  <c r="CG33" i="11"/>
  <c r="CH33" i="11" s="1"/>
  <c r="CD33" i="11"/>
  <c r="CD24" i="11"/>
  <c r="CG24" i="11"/>
  <c r="CH24" i="11" s="1"/>
  <c r="AL32" i="11"/>
  <c r="AN32" i="11"/>
  <c r="AO32" i="11" s="1"/>
  <c r="BH33" i="11"/>
  <c r="BK33" i="11"/>
  <c r="BL33" i="11" s="1"/>
  <c r="CR34" i="11"/>
  <c r="CS34" i="11" s="1"/>
  <c r="CO34" i="11"/>
  <c r="BV18" i="11"/>
  <c r="BW18" i="11" s="1"/>
  <c r="BS18" i="11"/>
  <c r="AN41" i="11"/>
  <c r="AO41" i="11" s="1"/>
  <c r="AL41" i="11"/>
  <c r="AN35" i="11"/>
  <c r="AO35" i="11" s="1"/>
  <c r="BS33" i="11"/>
  <c r="BV33" i="11"/>
  <c r="BW33" i="11" s="1"/>
  <c r="CG16" i="11"/>
  <c r="CH16" i="11" s="1"/>
  <c r="CD16" i="11"/>
  <c r="BK31" i="11"/>
  <c r="BL31" i="11" s="1"/>
  <c r="BH31" i="11"/>
  <c r="BK34" i="11"/>
  <c r="BL34" i="11" s="1"/>
  <c r="BH34" i="11"/>
  <c r="CG42" i="11"/>
  <c r="CH42" i="11" s="1"/>
  <c r="CD42" i="11"/>
  <c r="CO33" i="11"/>
  <c r="CR33" i="11"/>
  <c r="CS33" i="11" s="1"/>
  <c r="CR40" i="11"/>
  <c r="CS40" i="11" s="1"/>
  <c r="CO40" i="11"/>
  <c r="CG34" i="11"/>
  <c r="CH34" i="11" s="1"/>
  <c r="CD34" i="11"/>
  <c r="BS40" i="11"/>
  <c r="BV40" i="11"/>
  <c r="BW40" i="11" s="1"/>
  <c r="CO15" i="11"/>
  <c r="CR15" i="11"/>
  <c r="CS15" i="11" s="1"/>
  <c r="AB35" i="11"/>
  <c r="AB36" i="11"/>
  <c r="F63" i="38"/>
  <c r="G63" i="38" s="1"/>
  <c r="F63" i="39" s="1"/>
  <c r="E71" i="37"/>
  <c r="AB40" i="11"/>
  <c r="AB26" i="11"/>
  <c r="AB23" i="11"/>
  <c r="AB41" i="11"/>
  <c r="AB25" i="11"/>
  <c r="AB18" i="11"/>
  <c r="AB45" i="11"/>
  <c r="AB24" i="11"/>
  <c r="AB28" i="11"/>
  <c r="AB27" i="11"/>
  <c r="AB14" i="11"/>
  <c r="AB16" i="11"/>
  <c r="AB42" i="11"/>
  <c r="AB15" i="11"/>
  <c r="AB19" i="11"/>
  <c r="AB17" i="11"/>
  <c r="AB32" i="11"/>
  <c r="AB31" i="11"/>
  <c r="AB34" i="11"/>
  <c r="AL26" i="11" l="1"/>
  <c r="W52" i="11"/>
  <c r="D115" i="11" s="1"/>
  <c r="C123" i="11" s="1"/>
  <c r="V51" i="11"/>
  <c r="CR19" i="11"/>
  <c r="CS19" i="11" s="1"/>
  <c r="CG15" i="11"/>
  <c r="CH15" i="11" s="1"/>
  <c r="BS19" i="11"/>
  <c r="CO18" i="11"/>
  <c r="G63" i="39"/>
  <c r="CO17" i="11"/>
  <c r="CR14" i="11"/>
  <c r="CS14" i="11" s="1"/>
  <c r="CD17" i="11"/>
  <c r="BK17" i="11"/>
  <c r="BL17" i="11" s="1"/>
  <c r="CG23" i="11"/>
  <c r="CH23" i="11" s="1"/>
  <c r="CN48" i="11"/>
  <c r="AB48" i="11"/>
  <c r="BV14" i="11"/>
  <c r="BW14" i="11" s="1"/>
  <c r="BR48" i="11"/>
  <c r="CD14" i="11"/>
  <c r="CC48" i="11"/>
  <c r="BK14" i="11"/>
  <c r="BL14" i="11" s="1"/>
  <c r="BG48" i="11"/>
  <c r="AO23" i="11"/>
  <c r="CG14" i="11"/>
  <c r="CH14" i="11" s="1"/>
  <c r="AN27" i="11"/>
  <c r="AO27" i="11" s="1"/>
  <c r="BH16" i="11"/>
  <c r="CG26" i="11"/>
  <c r="CH26" i="11" s="1"/>
  <c r="AL25" i="11"/>
  <c r="BS14" i="11"/>
  <c r="AL24" i="11"/>
  <c r="CG19" i="11"/>
  <c r="CH19" i="11" s="1"/>
  <c r="BK18" i="11"/>
  <c r="BL18" i="11" s="1"/>
  <c r="BH14" i="11"/>
  <c r="BH15" i="11"/>
  <c r="CG18" i="11"/>
  <c r="CH18" i="11" s="1"/>
  <c r="BV15" i="11"/>
  <c r="BW15" i="11" s="1"/>
  <c r="CO23" i="11"/>
  <c r="BS16" i="11"/>
  <c r="CD25" i="11"/>
  <c r="BV17" i="11"/>
  <c r="BW17" i="11" s="1"/>
  <c r="CR16" i="11"/>
  <c r="CS16" i="11" s="1"/>
  <c r="CO26" i="11"/>
  <c r="CO25" i="11"/>
  <c r="BH23" i="11"/>
  <c r="BK23" i="11"/>
  <c r="BL23" i="11" s="1"/>
  <c r="BH26" i="11"/>
  <c r="BK26" i="11"/>
  <c r="BL26" i="11" s="1"/>
  <c r="BH24" i="11"/>
  <c r="BK24" i="11"/>
  <c r="BL24" i="11" s="1"/>
  <c r="BS26" i="11"/>
  <c r="BV26" i="11"/>
  <c r="BW26" i="11" s="1"/>
  <c r="BV23" i="11"/>
  <c r="BW23" i="11" s="1"/>
  <c r="BS23" i="11"/>
  <c r="BV25" i="11"/>
  <c r="BW25" i="11" s="1"/>
  <c r="BS25" i="11"/>
  <c r="BH25" i="11"/>
  <c r="BK25" i="11"/>
  <c r="BL25" i="11" s="1"/>
  <c r="BS24" i="11"/>
  <c r="BV24" i="11"/>
  <c r="BW24" i="11" s="1"/>
  <c r="E64" i="38"/>
  <c r="F71" i="37"/>
  <c r="G71" i="37" s="1"/>
  <c r="E71" i="39" s="1"/>
  <c r="AE16" i="11"/>
  <c r="AE28" i="11"/>
  <c r="AE24" i="11"/>
  <c r="F59" i="2"/>
  <c r="F62" i="2" s="1"/>
  <c r="AE14" i="11"/>
  <c r="AE18" i="11"/>
  <c r="AE19" i="11"/>
  <c r="AE26" i="11"/>
  <c r="AE17" i="11"/>
  <c r="AE27" i="11"/>
  <c r="AE41" i="11"/>
  <c r="AE15" i="11"/>
  <c r="AE25" i="11"/>
  <c r="AE42" i="11"/>
  <c r="AE23" i="11"/>
  <c r="AE40" i="11"/>
  <c r="AE36" i="11"/>
  <c r="AE34" i="11"/>
  <c r="AE35" i="11"/>
  <c r="AE33" i="11"/>
  <c r="AE32" i="11"/>
  <c r="AE31" i="11"/>
  <c r="BL48" i="11" l="1"/>
  <c r="BM25" i="11" s="1"/>
  <c r="BW48" i="11"/>
  <c r="CS48" i="11"/>
  <c r="CT33" i="11" s="1"/>
  <c r="CO48" i="11"/>
  <c r="L52" i="2" s="1"/>
  <c r="CD48" i="11"/>
  <c r="K52" i="2" s="1"/>
  <c r="BV48" i="11"/>
  <c r="J61" i="2" s="1"/>
  <c r="E58" i="10" s="1"/>
  <c r="CH48" i="11"/>
  <c r="CG48" i="11"/>
  <c r="K61" i="2" s="1"/>
  <c r="E59" i="10" s="1"/>
  <c r="BK48" i="11"/>
  <c r="I61" i="2" s="1"/>
  <c r="E57" i="10" s="1"/>
  <c r="AE48" i="11"/>
  <c r="CR48" i="11"/>
  <c r="BH48" i="11"/>
  <c r="I52" i="2" s="1"/>
  <c r="BS48" i="11"/>
  <c r="J52" i="2" s="1"/>
  <c r="F64" i="38"/>
  <c r="G64" i="38" s="1"/>
  <c r="E72" i="37"/>
  <c r="L61" i="2" l="1"/>
  <c r="E60" i="10" s="1"/>
  <c r="E65" i="38"/>
  <c r="BN49" i="11"/>
  <c r="BC49" i="11"/>
  <c r="BY49" i="11"/>
  <c r="CJ49" i="11"/>
  <c r="CE42" i="11"/>
  <c r="CE19" i="11"/>
  <c r="CE40" i="11"/>
  <c r="CP45" i="11"/>
  <c r="CP41" i="11"/>
  <c r="CE26" i="11"/>
  <c r="CE31" i="11"/>
  <c r="CE18" i="11"/>
  <c r="CE24" i="11"/>
  <c r="CE33" i="11"/>
  <c r="CE25" i="11"/>
  <c r="CE17" i="11"/>
  <c r="CE45" i="11"/>
  <c r="CE23" i="11"/>
  <c r="CE32" i="11"/>
  <c r="CE16" i="11"/>
  <c r="CE14" i="11"/>
  <c r="CE34" i="11"/>
  <c r="CE41" i="11"/>
  <c r="CE15" i="11"/>
  <c r="CI24" i="11"/>
  <c r="CI42" i="11"/>
  <c r="K59" i="2"/>
  <c r="K62" i="2" s="1"/>
  <c r="CP23" i="11"/>
  <c r="CP14" i="11"/>
  <c r="CP15" i="11"/>
  <c r="CP18" i="11"/>
  <c r="CP32" i="11"/>
  <c r="CP26" i="11"/>
  <c r="CP16" i="11"/>
  <c r="CP19" i="11"/>
  <c r="CP42" i="11"/>
  <c r="CP33" i="11"/>
  <c r="CP40" i="11"/>
  <c r="CP34" i="11"/>
  <c r="CI23" i="11"/>
  <c r="CP25" i="11"/>
  <c r="CP24" i="11"/>
  <c r="CP17" i="11"/>
  <c r="CP31" i="11"/>
  <c r="CI31" i="11"/>
  <c r="CI14" i="11"/>
  <c r="CI15" i="11"/>
  <c r="CI33" i="11"/>
  <c r="CI41" i="11"/>
  <c r="CI26" i="11"/>
  <c r="CI18" i="11"/>
  <c r="CI17" i="11"/>
  <c r="CI25" i="11"/>
  <c r="CI40" i="11"/>
  <c r="CI19" i="11"/>
  <c r="CI34" i="11"/>
  <c r="CI16" i="11"/>
  <c r="CI32" i="11"/>
  <c r="CT14" i="11"/>
  <c r="CT15" i="11"/>
  <c r="CT17" i="11"/>
  <c r="CT32" i="11"/>
  <c r="CT42" i="11"/>
  <c r="CT18" i="11"/>
  <c r="CT16" i="11"/>
  <c r="CT40" i="11"/>
  <c r="CT41" i="11"/>
  <c r="CT24" i="11"/>
  <c r="CT26" i="11"/>
  <c r="L59" i="2"/>
  <c r="L62" i="2" s="1"/>
  <c r="CT31" i="11"/>
  <c r="CT19" i="11"/>
  <c r="CT23" i="11"/>
  <c r="CT34" i="11"/>
  <c r="CT25" i="11"/>
  <c r="BI15" i="11"/>
  <c r="BT33" i="11"/>
  <c r="H63" i="38"/>
  <c r="AE91" i="38" s="1"/>
  <c r="F64" i="39"/>
  <c r="BI31" i="11"/>
  <c r="BI17" i="11"/>
  <c r="BI26" i="11"/>
  <c r="BI40" i="11"/>
  <c r="BI33" i="11"/>
  <c r="BI25" i="11"/>
  <c r="BI24" i="11"/>
  <c r="BI32" i="11"/>
  <c r="BI42" i="11"/>
  <c r="BI23" i="11"/>
  <c r="BI45" i="11"/>
  <c r="BI34" i="11"/>
  <c r="BI14" i="11"/>
  <c r="BI41" i="11"/>
  <c r="BI16" i="11"/>
  <c r="BI19" i="11"/>
  <c r="BI18" i="11"/>
  <c r="BT23" i="11"/>
  <c r="BT14" i="11"/>
  <c r="BT24" i="11"/>
  <c r="BT34" i="11"/>
  <c r="BT31" i="11"/>
  <c r="BT40" i="11"/>
  <c r="BT26" i="11"/>
  <c r="BT16" i="11"/>
  <c r="BT18" i="11"/>
  <c r="BT41" i="11"/>
  <c r="BT25" i="11"/>
  <c r="BT45" i="11"/>
  <c r="BT32" i="11"/>
  <c r="BT42" i="11"/>
  <c r="BT17" i="11"/>
  <c r="BT15" i="11"/>
  <c r="BT19" i="11"/>
  <c r="BX23" i="11"/>
  <c r="J59" i="2"/>
  <c r="J62" i="2" s="1"/>
  <c r="BX15" i="11"/>
  <c r="BX16" i="11"/>
  <c r="BX33" i="11"/>
  <c r="BX42" i="11"/>
  <c r="BX19" i="11"/>
  <c r="BX17" i="11"/>
  <c r="BX32" i="11"/>
  <c r="BX40" i="11"/>
  <c r="BX31" i="11"/>
  <c r="BX18" i="11"/>
  <c r="BX41" i="11"/>
  <c r="BX34" i="11"/>
  <c r="BX24" i="11"/>
  <c r="BM24" i="11"/>
  <c r="BM14" i="11"/>
  <c r="I59" i="2"/>
  <c r="I62" i="2" s="1"/>
  <c r="BM16" i="11"/>
  <c r="BM42" i="11"/>
  <c r="BM18" i="11"/>
  <c r="BM19" i="11"/>
  <c r="BM41" i="11"/>
  <c r="BM31" i="11"/>
  <c r="BM32" i="11"/>
  <c r="BM40" i="11"/>
  <c r="BM17" i="11"/>
  <c r="BM15" i="11"/>
  <c r="BM34" i="11"/>
  <c r="BM33" i="11"/>
  <c r="BX25" i="11"/>
  <c r="BM23" i="11"/>
  <c r="BM26" i="11"/>
  <c r="BX14" i="11"/>
  <c r="BX26" i="11"/>
  <c r="F65" i="38"/>
  <c r="G65" i="38" s="1"/>
  <c r="F65" i="39" s="1"/>
  <c r="F72" i="37"/>
  <c r="G72" i="37" s="1"/>
  <c r="L63" i="2" l="1"/>
  <c r="BN52" i="11"/>
  <c r="D119" i="11" s="1"/>
  <c r="F41" i="1" s="1"/>
  <c r="BO51" i="11"/>
  <c r="BC52" i="11"/>
  <c r="D118" i="11" s="1"/>
  <c r="E41" i="1" s="1"/>
  <c r="BD51" i="11"/>
  <c r="BY52" i="11"/>
  <c r="D120" i="11" s="1"/>
  <c r="G41" i="1" s="1"/>
  <c r="BY51" i="11"/>
  <c r="CJ52" i="11"/>
  <c r="D121" i="11" s="1"/>
  <c r="H41" i="1" s="1"/>
  <c r="CJ51" i="11"/>
  <c r="G64" i="39"/>
  <c r="H63" i="39" s="1"/>
  <c r="AE91" i="39" s="1"/>
  <c r="L63" i="39"/>
  <c r="G65" i="39"/>
  <c r="CE48" i="11"/>
  <c r="CI48" i="11"/>
  <c r="CT48" i="11"/>
  <c r="CP48" i="11"/>
  <c r="H71" i="37"/>
  <c r="AH91" i="37" s="1"/>
  <c r="E72" i="39"/>
  <c r="K71" i="39" s="1"/>
  <c r="BI48" i="11"/>
  <c r="BT48" i="11"/>
  <c r="BX48" i="11"/>
  <c r="BM48" i="11"/>
  <c r="E66" i="38"/>
  <c r="E73" i="37"/>
  <c r="E119" i="11" l="1"/>
  <c r="F40" i="1" s="1"/>
  <c r="J53" i="2"/>
  <c r="E121" i="11"/>
  <c r="H40" i="1" s="1"/>
  <c r="L53" i="2"/>
  <c r="E118" i="11"/>
  <c r="E40" i="1" s="1"/>
  <c r="I53" i="2"/>
  <c r="E120" i="11"/>
  <c r="G120" i="11" s="1"/>
  <c r="K53" i="2"/>
  <c r="B40" i="1"/>
  <c r="F66" i="38"/>
  <c r="G66" i="38" s="1"/>
  <c r="F73" i="37"/>
  <c r="G73" i="37" s="1"/>
  <c r="I54" i="2" l="1"/>
  <c r="M76" i="3"/>
  <c r="L65" i="17" s="1"/>
  <c r="J72" i="2"/>
  <c r="Q76" i="3"/>
  <c r="K54" i="2"/>
  <c r="S76" i="3"/>
  <c r="I72" i="2"/>
  <c r="K72" i="2"/>
  <c r="J54" i="2"/>
  <c r="G121" i="11"/>
  <c r="L54" i="2"/>
  <c r="L72" i="2"/>
  <c r="G40" i="1"/>
  <c r="G118" i="11"/>
  <c r="G119" i="11"/>
  <c r="E67" i="38"/>
  <c r="F67" i="38" s="1"/>
  <c r="G67" i="38" s="1"/>
  <c r="F67" i="39" s="1"/>
  <c r="E74" i="37"/>
  <c r="F74" i="37" s="1"/>
  <c r="G74" i="37" s="1"/>
  <c r="E74" i="39" s="1"/>
  <c r="E73" i="39"/>
  <c r="H65" i="38"/>
  <c r="AF91" i="38" s="1"/>
  <c r="F66" i="39"/>
  <c r="Q77" i="3" l="1"/>
  <c r="Q83" i="3" s="1"/>
  <c r="R80" i="3" s="1"/>
  <c r="N65" i="17"/>
  <c r="N65" i="18"/>
  <c r="O65" i="17"/>
  <c r="S77" i="3"/>
  <c r="S83" i="3" s="1"/>
  <c r="T80" i="3" s="1"/>
  <c r="O65" i="18"/>
  <c r="O76" i="3"/>
  <c r="M77" i="3"/>
  <c r="M83" i="3" s="1"/>
  <c r="N80" i="3" s="1"/>
  <c r="L65" i="18"/>
  <c r="K73" i="39"/>
  <c r="G67" i="39"/>
  <c r="G66" i="39"/>
  <c r="H65" i="39" s="1"/>
  <c r="AF91" i="39" s="1"/>
  <c r="L65" i="39"/>
  <c r="H73" i="37"/>
  <c r="AI91" i="37" s="1"/>
  <c r="E75" i="37"/>
  <c r="F75" i="37" s="1"/>
  <c r="G75" i="37" s="1"/>
  <c r="E75" i="39" s="1"/>
  <c r="E68" i="38"/>
  <c r="L66" i="17" l="1"/>
  <c r="L72" i="17" s="1"/>
  <c r="N66" i="18"/>
  <c r="N72" i="18" s="1"/>
  <c r="O66" i="17"/>
  <c r="O72" i="17" s="1"/>
  <c r="M65" i="17"/>
  <c r="O77" i="3"/>
  <c r="O83" i="3" s="1"/>
  <c r="P80" i="3" s="1"/>
  <c r="M65" i="18"/>
  <c r="L66" i="18"/>
  <c r="L72" i="18" s="1"/>
  <c r="L87" i="18" s="1"/>
  <c r="O66" i="18"/>
  <c r="O72" i="18" s="1"/>
  <c r="N66" i="17"/>
  <c r="N72" i="17" s="1"/>
  <c r="F68" i="38"/>
  <c r="G68" i="38" s="1"/>
  <c r="E76" i="37"/>
  <c r="M66" i="17" l="1"/>
  <c r="M72" i="17" s="1"/>
  <c r="M88" i="17" s="1"/>
  <c r="N87" i="18"/>
  <c r="O87" i="18"/>
  <c r="N88" i="17"/>
  <c r="D39" i="10" s="1"/>
  <c r="F39" i="10" s="1"/>
  <c r="J39" i="10" s="1"/>
  <c r="M66" i="18"/>
  <c r="M72" i="18" s="1"/>
  <c r="O88" i="17"/>
  <c r="D40" i="10" s="1"/>
  <c r="F40" i="10" s="1"/>
  <c r="J40" i="10" s="1"/>
  <c r="L88" i="17"/>
  <c r="D37" i="10" s="1"/>
  <c r="F37" i="10" s="1"/>
  <c r="J37" i="10" s="1"/>
  <c r="H67" i="38"/>
  <c r="AG91" i="38" s="1"/>
  <c r="F68" i="39"/>
  <c r="E69" i="38"/>
  <c r="F76" i="37"/>
  <c r="G76" i="37" s="1"/>
  <c r="D60" i="10" l="1"/>
  <c r="F60" i="10" s="1"/>
  <c r="J60" i="10" s="1"/>
  <c r="S100" i="3"/>
  <c r="D59" i="10"/>
  <c r="F59" i="10" s="1"/>
  <c r="J59" i="10" s="1"/>
  <c r="Q100" i="3"/>
  <c r="D57" i="10"/>
  <c r="F57" i="10" s="1"/>
  <c r="J57" i="10" s="1"/>
  <c r="M100" i="3"/>
  <c r="M87" i="18"/>
  <c r="D38" i="10"/>
  <c r="F38" i="10" s="1"/>
  <c r="J38" i="10" s="1"/>
  <c r="G68" i="39"/>
  <c r="H67" i="39" s="1"/>
  <c r="AG91" i="39" s="1"/>
  <c r="L67" i="39"/>
  <c r="H75" i="37"/>
  <c r="AJ91" i="37" s="1"/>
  <c r="E76" i="39"/>
  <c r="K75" i="39" s="1"/>
  <c r="F69" i="38"/>
  <c r="G69" i="38" s="1"/>
  <c r="F69" i="39" s="1"/>
  <c r="E77" i="37"/>
  <c r="D58" i="10" l="1"/>
  <c r="F58" i="10" s="1"/>
  <c r="J58" i="10" s="1"/>
  <c r="O100" i="3"/>
  <c r="G69" i="39"/>
  <c r="E70" i="38"/>
  <c r="F77" i="37"/>
  <c r="G77" i="37" s="1"/>
  <c r="E77" i="39" s="1"/>
  <c r="F70" i="38" l="1"/>
  <c r="G70" i="38" s="1"/>
  <c r="E78" i="37"/>
  <c r="H69" i="38" l="1"/>
  <c r="AH91" i="38" s="1"/>
  <c r="F70" i="39"/>
  <c r="E71" i="38"/>
  <c r="F78" i="37"/>
  <c r="G78" i="37" s="1"/>
  <c r="G70" i="39" l="1"/>
  <c r="H69" i="39" s="1"/>
  <c r="AH91" i="39" s="1"/>
  <c r="L69" i="39"/>
  <c r="H77" i="37"/>
  <c r="AK91" i="37" s="1"/>
  <c r="E78" i="39"/>
  <c r="K77" i="39" s="1"/>
  <c r="F71" i="38"/>
  <c r="G71" i="38" s="1"/>
  <c r="F71" i="39" s="1"/>
  <c r="E79" i="37"/>
  <c r="G71" i="39" l="1"/>
  <c r="E72" i="38"/>
  <c r="F79" i="37"/>
  <c r="G79" i="37" s="1"/>
  <c r="E79" i="39" l="1"/>
  <c r="E80" i="37"/>
  <c r="F80" i="37" s="1"/>
  <c r="G80" i="37" s="1"/>
  <c r="E80" i="39" s="1"/>
  <c r="F72" i="38"/>
  <c r="G72" i="38" s="1"/>
  <c r="H79" i="37" l="1"/>
  <c r="AL91" i="37" s="1"/>
  <c r="K79" i="39"/>
  <c r="E81" i="37"/>
  <c r="F81" i="37" s="1"/>
  <c r="G81" i="37" s="1"/>
  <c r="E81" i="39" s="1"/>
  <c r="H71" i="38"/>
  <c r="AI91" i="38" s="1"/>
  <c r="F72" i="39"/>
  <c r="E73" i="38"/>
  <c r="G72" i="39" l="1"/>
  <c r="H71" i="39" s="1"/>
  <c r="AI91" i="39" s="1"/>
  <c r="L71" i="39"/>
  <c r="F73" i="38"/>
  <c r="G73" i="38" s="1"/>
  <c r="F73" i="39" s="1"/>
  <c r="E82" i="37"/>
  <c r="G73" i="39" l="1"/>
  <c r="E74" i="38"/>
  <c r="F82" i="37"/>
  <c r="G82" i="37" s="1"/>
  <c r="E83" i="37" l="1"/>
  <c r="H81" i="37"/>
  <c r="AM91" i="37" s="1"/>
  <c r="E82" i="39"/>
  <c r="K81" i="39" s="1"/>
  <c r="F74" i="38"/>
  <c r="G74" i="38" s="1"/>
  <c r="F83" i="37"/>
  <c r="G83" i="37" s="1"/>
  <c r="E83" i="39" s="1"/>
  <c r="H73" i="38" l="1"/>
  <c r="AJ91" i="38" s="1"/>
  <c r="F74" i="39"/>
  <c r="E75" i="38"/>
  <c r="F75" i="38" s="1"/>
  <c r="G75" i="38" s="1"/>
  <c r="F75" i="39" s="1"/>
  <c r="E84" i="37"/>
  <c r="G75" i="39" l="1"/>
  <c r="G74" i="39"/>
  <c r="H73" i="39" s="1"/>
  <c r="AJ91" i="39" s="1"/>
  <c r="L73" i="39"/>
  <c r="E76" i="38"/>
  <c r="F84" i="37"/>
  <c r="G84" i="37" s="1"/>
  <c r="H83" i="37" l="1"/>
  <c r="AN91" i="37" s="1"/>
  <c r="E84" i="39"/>
  <c r="K83" i="39" s="1"/>
  <c r="F76" i="38"/>
  <c r="G76" i="38" s="1"/>
  <c r="E85" i="37"/>
  <c r="E77" i="38" l="1"/>
  <c r="F77" i="38" s="1"/>
  <c r="G77" i="38" s="1"/>
  <c r="F77" i="39" s="1"/>
  <c r="H75" i="38"/>
  <c r="AK91" i="38" s="1"/>
  <c r="F76" i="39"/>
  <c r="F85" i="37"/>
  <c r="G85" i="37" s="1"/>
  <c r="E85" i="39" s="1"/>
  <c r="G85" i="39" s="1"/>
  <c r="H85" i="39" s="1"/>
  <c r="AP91" i="39" s="1"/>
  <c r="G76" i="39" l="1"/>
  <c r="H75" i="39" s="1"/>
  <c r="AK91" i="39" s="1"/>
  <c r="L75" i="39"/>
  <c r="G77" i="39"/>
  <c r="E86" i="37"/>
  <c r="F86" i="37" s="1"/>
  <c r="G86" i="37" s="1"/>
  <c r="H85" i="37" s="1"/>
  <c r="AO91" i="37" s="1"/>
  <c r="E78" i="38"/>
  <c r="F78" i="38" l="1"/>
  <c r="G78" i="38" s="1"/>
  <c r="H77" i="38" l="1"/>
  <c r="AL91" i="38" s="1"/>
  <c r="F78" i="39"/>
  <c r="E79" i="38"/>
  <c r="G78" i="39" l="1"/>
  <c r="H77" i="39" s="1"/>
  <c r="AL91" i="39" s="1"/>
  <c r="L77" i="39"/>
  <c r="F79" i="38"/>
  <c r="G79" i="38" s="1"/>
  <c r="F79" i="39" s="1"/>
  <c r="G79" i="39" l="1"/>
  <c r="E80" i="38"/>
  <c r="F80" i="38" l="1"/>
  <c r="G80" i="38" s="1"/>
  <c r="E81" i="38" s="1"/>
  <c r="H79" i="38" l="1"/>
  <c r="AM91" i="38" s="1"/>
  <c r="F80" i="39"/>
  <c r="L79" i="39" s="1"/>
  <c r="F81" i="38"/>
  <c r="G81" i="38" s="1"/>
  <c r="F81" i="39" s="1"/>
  <c r="G80" i="39" l="1"/>
  <c r="G81" i="39"/>
  <c r="E82" i="38"/>
  <c r="H79" i="39" l="1"/>
  <c r="AM91" i="39" s="1"/>
  <c r="F82" i="38"/>
  <c r="G82" i="38" s="1"/>
  <c r="E83" i="38" l="1"/>
  <c r="F83" i="38" s="1"/>
  <c r="G83" i="38" s="1"/>
  <c r="F83" i="39" s="1"/>
  <c r="H81" i="38"/>
  <c r="AN91" i="38" s="1"/>
  <c r="F82" i="39"/>
  <c r="G82" i="39" l="1"/>
  <c r="H81" i="39" s="1"/>
  <c r="AN91" i="39" s="1"/>
  <c r="L81" i="39"/>
  <c r="G83" i="39"/>
  <c r="E84" i="38"/>
  <c r="F84" i="38" s="1"/>
  <c r="G84" i="38" s="1"/>
  <c r="H83" i="38" l="1"/>
  <c r="AO91" i="38" s="1"/>
  <c r="F84" i="39"/>
  <c r="G84" i="39" l="1"/>
  <c r="H83" i="39" s="1"/>
  <c r="AO91" i="39" s="1"/>
  <c r="L83" i="39"/>
  <c r="E46" i="23" l="1"/>
  <c r="E51" i="23" s="1"/>
  <c r="G12" i="2" l="1"/>
  <c r="G17" i="2" s="1"/>
  <c r="K49" i="23"/>
  <c r="E67" i="23"/>
  <c r="E72" i="23" s="1"/>
  <c r="P5" i="23"/>
  <c r="P6" i="23" l="1"/>
  <c r="AK14" i="11" s="1"/>
  <c r="AL14" i="11" s="1"/>
  <c r="P9" i="23"/>
  <c r="P7" i="23"/>
  <c r="H19" i="2"/>
  <c r="G19" i="2"/>
  <c r="G18" i="2"/>
  <c r="G22" i="2" s="1"/>
  <c r="G21" i="2"/>
  <c r="G24" i="2" s="1"/>
  <c r="E35" i="10"/>
  <c r="F35" i="10" s="1"/>
  <c r="J35" i="10" s="1"/>
  <c r="E34" i="10"/>
  <c r="F34" i="10" s="1"/>
  <c r="E32" i="10"/>
  <c r="F32" i="10" s="1"/>
  <c r="J32" i="10" s="1"/>
  <c r="K50" i="23"/>
  <c r="K47" i="23"/>
  <c r="K48" i="23"/>
  <c r="K46" i="23"/>
  <c r="P11" i="23"/>
  <c r="AK19" i="11" s="1"/>
  <c r="AL19" i="11" s="1"/>
  <c r="P8" i="23"/>
  <c r="AK16" i="11" s="1"/>
  <c r="AL16" i="11" s="1"/>
  <c r="P10" i="23"/>
  <c r="AK18" i="11" s="1"/>
  <c r="AN18" i="11" s="1"/>
  <c r="AO18" i="11" s="1"/>
  <c r="AK15" i="11"/>
  <c r="AL15" i="11" s="1"/>
  <c r="AK17" i="11"/>
  <c r="AN14" i="11"/>
  <c r="AO14" i="11" s="1"/>
  <c r="AN17" i="11" l="1"/>
  <c r="AO17" i="11" s="1"/>
  <c r="AL17" i="11"/>
  <c r="AK48" i="11"/>
  <c r="AN19" i="11"/>
  <c r="AO19" i="11" s="1"/>
  <c r="AN16" i="11"/>
  <c r="AO16" i="11" s="1"/>
  <c r="AL18" i="11"/>
  <c r="AL48" i="11" s="1"/>
  <c r="AN15" i="11"/>
  <c r="AO15" i="11" s="1"/>
  <c r="AO48" i="11" s="1"/>
  <c r="AH49" i="11" l="1"/>
  <c r="AN48" i="11"/>
  <c r="G61" i="2" s="1"/>
  <c r="AP18" i="11" l="1"/>
  <c r="AH51" i="11"/>
  <c r="AM37" i="11"/>
  <c r="AM36" i="11"/>
  <c r="AM35" i="11"/>
  <c r="AM18" i="11"/>
  <c r="AM24" i="11"/>
  <c r="AM19" i="11"/>
  <c r="AM34" i="11"/>
  <c r="AM17" i="11"/>
  <c r="AM28" i="11"/>
  <c r="AP14" i="11"/>
  <c r="AP19" i="11"/>
  <c r="AP42" i="11"/>
  <c r="AP27" i="11"/>
  <c r="AP31" i="11"/>
  <c r="AP15" i="11"/>
  <c r="AP41" i="11"/>
  <c r="AP40" i="11"/>
  <c r="AP23" i="11"/>
  <c r="AP32" i="11"/>
  <c r="AP28" i="11"/>
  <c r="AP35" i="11"/>
  <c r="AP16" i="11"/>
  <c r="AP33" i="11"/>
  <c r="AP34" i="11"/>
  <c r="AP36" i="11"/>
  <c r="E55" i="10"/>
  <c r="F55" i="10" s="1"/>
  <c r="J55" i="10" s="1"/>
  <c r="E15" i="10"/>
  <c r="AP25" i="11"/>
  <c r="AP24" i="11"/>
  <c r="G59" i="2"/>
  <c r="G62" i="2" s="1"/>
  <c r="AP26" i="11"/>
  <c r="AP17" i="11"/>
  <c r="AM15" i="11"/>
  <c r="AM32" i="11"/>
  <c r="AM16" i="11"/>
  <c r="AM26" i="11"/>
  <c r="AM14" i="11"/>
  <c r="AM31" i="11"/>
  <c r="AM27" i="11"/>
  <c r="AM45" i="11"/>
  <c r="G52" i="2"/>
  <c r="AM23" i="11"/>
  <c r="AM25" i="11"/>
  <c r="AM40" i="11"/>
  <c r="AM42" i="11"/>
  <c r="AM33" i="11"/>
  <c r="AM41" i="11"/>
  <c r="AM48" i="11" l="1"/>
  <c r="AP48" i="11"/>
  <c r="AH52" i="11"/>
  <c r="D116" i="11" s="1"/>
  <c r="B41" i="1" s="1"/>
  <c r="H14" i="10"/>
  <c r="H34" i="10" l="1"/>
  <c r="F115" i="11"/>
  <c r="G115" i="11" s="1"/>
  <c r="H54" i="10" l="1"/>
  <c r="J54" i="10" s="1"/>
  <c r="J34" i="10"/>
  <c r="J64" i="3"/>
  <c r="J63" i="3" l="1"/>
  <c r="J60" i="3"/>
  <c r="J18" i="3"/>
  <c r="J25" i="3"/>
  <c r="J66" i="3"/>
  <c r="J57" i="3"/>
  <c r="J56" i="3"/>
  <c r="J39" i="3"/>
  <c r="J23" i="3"/>
  <c r="J49" i="3"/>
  <c r="J16" i="3"/>
  <c r="J10" i="3"/>
  <c r="J55" i="3"/>
  <c r="J45" i="3"/>
  <c r="J15" i="3"/>
  <c r="J14" i="3"/>
  <c r="J51" i="3"/>
  <c r="J72" i="3"/>
  <c r="J65" i="3"/>
  <c r="J44" i="3"/>
  <c r="J17" i="3"/>
  <c r="J21" i="3"/>
  <c r="J43" i="3"/>
  <c r="J8" i="3"/>
  <c r="J76" i="3"/>
  <c r="J77" i="3" s="1"/>
  <c r="J5" i="3"/>
  <c r="J71" i="3"/>
  <c r="J38" i="3"/>
  <c r="J52" i="3"/>
  <c r="J40" i="3"/>
  <c r="J19" i="3"/>
  <c r="J61" i="3"/>
  <c r="J24" i="3"/>
  <c r="J62" i="3"/>
  <c r="J50" i="3"/>
  <c r="J20" i="3"/>
  <c r="J53" i="3"/>
  <c r="J67" i="3"/>
  <c r="J54" i="3"/>
  <c r="J48" i="3"/>
  <c r="J59" i="3"/>
  <c r="J11" i="3"/>
  <c r="J47" i="3"/>
  <c r="J9" i="3"/>
  <c r="J58" i="3"/>
  <c r="J12" i="3"/>
  <c r="J26" i="3"/>
  <c r="J46" i="3"/>
  <c r="J22" i="3"/>
  <c r="J36" i="3" l="1"/>
  <c r="J73" i="3"/>
  <c r="D15" i="10"/>
  <c r="J68" i="3"/>
  <c r="J41" i="3"/>
  <c r="J83" i="3" l="1"/>
  <c r="F15" i="10"/>
  <c r="H116" i="11"/>
  <c r="I116" i="11" s="1"/>
  <c r="J15" i="10" l="1"/>
  <c r="C116" i="11" s="1"/>
  <c r="J116" i="11"/>
  <c r="B42" i="1"/>
  <c r="H21" i="3" l="1"/>
  <c r="H55" i="3"/>
  <c r="H10" i="3"/>
  <c r="H8" i="3"/>
  <c r="H11" i="3"/>
  <c r="G84" i="3"/>
  <c r="G97" i="3" s="1"/>
  <c r="D14" i="10" s="1"/>
  <c r="H76" i="3"/>
  <c r="H77" i="3" s="1"/>
  <c r="H44" i="3"/>
  <c r="H47" i="3"/>
  <c r="H43" i="3"/>
  <c r="H48" i="3"/>
  <c r="H46" i="3"/>
  <c r="H71" i="3"/>
  <c r="H40" i="3"/>
  <c r="H39" i="3"/>
  <c r="H65" i="3"/>
  <c r="H62" i="3"/>
  <c r="H19" i="3"/>
  <c r="H18" i="3"/>
  <c r="H22" i="3"/>
  <c r="H14" i="3"/>
  <c r="H60" i="3"/>
  <c r="H23" i="3"/>
  <c r="H16" i="3"/>
  <c r="H17" i="3"/>
  <c r="H5" i="3"/>
  <c r="H64" i="3"/>
  <c r="H15" i="3"/>
  <c r="H9" i="3"/>
  <c r="H66" i="3"/>
  <c r="H51" i="3"/>
  <c r="H57" i="3"/>
  <c r="H26" i="3"/>
  <c r="H52" i="3"/>
  <c r="H58" i="3"/>
  <c r="H61" i="3"/>
  <c r="H20" i="3"/>
  <c r="H50" i="3"/>
  <c r="H53" i="3"/>
  <c r="H72" i="3"/>
  <c r="H25" i="3"/>
  <c r="H12" i="3"/>
  <c r="H49" i="3"/>
  <c r="H54" i="3"/>
  <c r="H24" i="3"/>
  <c r="H59" i="3"/>
  <c r="H63" i="3"/>
  <c r="H56" i="3"/>
  <c r="H67" i="3"/>
  <c r="H45" i="3"/>
  <c r="H38" i="3"/>
  <c r="H36" i="3" l="1"/>
  <c r="H41" i="3"/>
  <c r="H68" i="3"/>
  <c r="H73" i="3"/>
  <c r="F65" i="2"/>
  <c r="H115" i="11" l="1"/>
  <c r="F14" i="10"/>
  <c r="J14" i="10" s="1"/>
  <c r="C115" i="11" s="1"/>
  <c r="I115" i="11" l="1"/>
  <c r="J115" i="11"/>
  <c r="N50" i="3" l="1"/>
  <c r="N55" i="3" l="1"/>
  <c r="N9" i="3"/>
  <c r="N11" i="3"/>
  <c r="N18" i="3"/>
  <c r="N8" i="3"/>
  <c r="N24" i="3"/>
  <c r="N25" i="3"/>
  <c r="N21" i="3"/>
  <c r="N46" i="3"/>
  <c r="N10" i="3"/>
  <c r="M84" i="3"/>
  <c r="N65" i="3"/>
  <c r="N72" i="3"/>
  <c r="N71" i="3"/>
  <c r="N44" i="3"/>
  <c r="N60" i="3"/>
  <c r="N58" i="3"/>
  <c r="N16" i="3"/>
  <c r="N14" i="3"/>
  <c r="N62" i="3"/>
  <c r="N12" i="3"/>
  <c r="N64" i="3"/>
  <c r="N40" i="3"/>
  <c r="N38" i="3"/>
  <c r="N81" i="3"/>
  <c r="N5" i="3"/>
  <c r="N45" i="3"/>
  <c r="N49" i="3"/>
  <c r="N47" i="3"/>
  <c r="N61" i="3"/>
  <c r="N54" i="3"/>
  <c r="N48" i="3"/>
  <c r="N51" i="3"/>
  <c r="N17" i="3"/>
  <c r="N52" i="3"/>
  <c r="N20" i="3"/>
  <c r="N22" i="3"/>
  <c r="N39" i="3"/>
  <c r="N57" i="3"/>
  <c r="N67" i="3"/>
  <c r="N15" i="3"/>
  <c r="N53" i="3"/>
  <c r="N76" i="3"/>
  <c r="N77" i="3" s="1"/>
  <c r="N23" i="3"/>
  <c r="N26" i="3"/>
  <c r="N63" i="3"/>
  <c r="N59" i="3"/>
  <c r="N19" i="3"/>
  <c r="N56" i="3"/>
  <c r="N66" i="3"/>
  <c r="N43" i="3"/>
  <c r="M97" i="3" l="1"/>
  <c r="N73" i="3"/>
  <c r="N68" i="3"/>
  <c r="N36" i="3"/>
  <c r="N41" i="3"/>
  <c r="D17" i="10" l="1"/>
  <c r="H118" i="11" s="1"/>
  <c r="I118" i="11" s="1"/>
  <c r="E42" i="1" s="1"/>
  <c r="M101" i="3"/>
  <c r="N83" i="3"/>
  <c r="P20" i="3"/>
  <c r="I65" i="2" l="1"/>
  <c r="J118" i="11"/>
  <c r="P45" i="3"/>
  <c r="P81" i="3"/>
  <c r="P54" i="3"/>
  <c r="P21" i="3"/>
  <c r="P65" i="3"/>
  <c r="P56" i="3"/>
  <c r="P39" i="3"/>
  <c r="P57" i="3"/>
  <c r="P63" i="3"/>
  <c r="P12" i="3"/>
  <c r="P40" i="3"/>
  <c r="P61" i="3"/>
  <c r="P11" i="3"/>
  <c r="P48" i="3"/>
  <c r="P44" i="3"/>
  <c r="P66" i="3"/>
  <c r="P47" i="3"/>
  <c r="P50" i="3"/>
  <c r="P46" i="3"/>
  <c r="P58" i="3"/>
  <c r="P38" i="3"/>
  <c r="P5" i="3"/>
  <c r="P9" i="3"/>
  <c r="P64" i="3"/>
  <c r="P18" i="3"/>
  <c r="P55" i="3"/>
  <c r="P22" i="3"/>
  <c r="P62" i="3"/>
  <c r="P17" i="3"/>
  <c r="P26" i="3"/>
  <c r="P52" i="3"/>
  <c r="P25" i="3"/>
  <c r="P53" i="3"/>
  <c r="P19" i="3"/>
  <c r="P24" i="3"/>
  <c r="P10" i="3"/>
  <c r="P51" i="3"/>
  <c r="P49" i="3"/>
  <c r="P14" i="3"/>
  <c r="P72" i="3"/>
  <c r="P60" i="3"/>
  <c r="P16" i="3"/>
  <c r="P76" i="3"/>
  <c r="P77" i="3" s="1"/>
  <c r="P43" i="3"/>
  <c r="P23" i="3"/>
  <c r="O84" i="3"/>
  <c r="P59" i="3"/>
  <c r="P15" i="3"/>
  <c r="P67" i="3"/>
  <c r="P71" i="3"/>
  <c r="P8" i="3"/>
  <c r="P36" i="3" l="1"/>
  <c r="O97" i="3"/>
  <c r="P73" i="3"/>
  <c r="P41" i="3"/>
  <c r="P68" i="3"/>
  <c r="D18" i="10" l="1"/>
  <c r="H119" i="11" s="1"/>
  <c r="J119" i="11" s="1"/>
  <c r="O101" i="3"/>
  <c r="P83" i="3"/>
  <c r="I119" i="11" l="1"/>
  <c r="F42" i="1" s="1"/>
  <c r="R65" i="3"/>
  <c r="J65" i="2" l="1"/>
  <c r="Q84" i="3"/>
  <c r="R66" i="3"/>
  <c r="R60" i="3"/>
  <c r="R62" i="3"/>
  <c r="R19" i="3"/>
  <c r="R71" i="3"/>
  <c r="R53" i="3"/>
  <c r="R18" i="3"/>
  <c r="R81" i="3"/>
  <c r="R67" i="3"/>
  <c r="R49" i="3"/>
  <c r="R46" i="3"/>
  <c r="R47" i="3"/>
  <c r="R63" i="3"/>
  <c r="R72" i="3"/>
  <c r="R43" i="3"/>
  <c r="R8" i="3"/>
  <c r="R11" i="3"/>
  <c r="R48" i="3"/>
  <c r="R12" i="3"/>
  <c r="R15" i="3"/>
  <c r="R50" i="3"/>
  <c r="R17" i="3"/>
  <c r="R52" i="3"/>
  <c r="R61" i="3"/>
  <c r="R20" i="3"/>
  <c r="R64" i="3"/>
  <c r="R39" i="3"/>
  <c r="R25" i="3"/>
  <c r="R57" i="3"/>
  <c r="R22" i="3"/>
  <c r="R56" i="3"/>
  <c r="R54" i="3"/>
  <c r="R51" i="3"/>
  <c r="R14" i="3"/>
  <c r="R21" i="3"/>
  <c r="R24" i="3"/>
  <c r="R59" i="3"/>
  <c r="R26" i="3"/>
  <c r="R40" i="3"/>
  <c r="R38" i="3"/>
  <c r="R5" i="3"/>
  <c r="R76" i="3"/>
  <c r="R77" i="3" s="1"/>
  <c r="R58" i="3"/>
  <c r="R44" i="3"/>
  <c r="R45" i="3"/>
  <c r="R23" i="3"/>
  <c r="R16" i="3"/>
  <c r="R9" i="3"/>
  <c r="R55" i="3"/>
  <c r="R10" i="3"/>
  <c r="Q97" i="3" l="1"/>
  <c r="R68" i="3"/>
  <c r="R36" i="3"/>
  <c r="R73" i="3"/>
  <c r="R41" i="3"/>
  <c r="D19" i="10" l="1"/>
  <c r="H120" i="11" s="1"/>
  <c r="I120" i="11" s="1"/>
  <c r="K65" i="2" s="1"/>
  <c r="Q101" i="3"/>
  <c r="R83" i="3"/>
  <c r="T20" i="3"/>
  <c r="J120" i="11" l="1"/>
  <c r="G42" i="1"/>
  <c r="T55" i="3"/>
  <c r="T22" i="3"/>
  <c r="T59" i="3"/>
  <c r="T63" i="3"/>
  <c r="T71" i="3"/>
  <c r="T72" i="3"/>
  <c r="T21" i="3"/>
  <c r="T60" i="3"/>
  <c r="T50" i="3"/>
  <c r="T81" i="3"/>
  <c r="T53" i="3"/>
  <c r="T64" i="3"/>
  <c r="T76" i="3"/>
  <c r="T77" i="3" s="1"/>
  <c r="S84" i="3"/>
  <c r="T39" i="3"/>
  <c r="T9" i="3"/>
  <c r="T40" i="3"/>
  <c r="T44" i="3"/>
  <c r="T61" i="3"/>
  <c r="T46" i="3"/>
  <c r="T15" i="3"/>
  <c r="T48" i="3"/>
  <c r="T67" i="3"/>
  <c r="T62" i="3"/>
  <c r="T51" i="3"/>
  <c r="T43" i="3"/>
  <c r="T11" i="3"/>
  <c r="T54" i="3"/>
  <c r="T24" i="3"/>
  <c r="T49" i="3"/>
  <c r="T17" i="3"/>
  <c r="T19" i="3"/>
  <c r="T58" i="3"/>
  <c r="T65" i="3"/>
  <c r="T66" i="3"/>
  <c r="T57" i="3"/>
  <c r="T45" i="3"/>
  <c r="T18" i="3"/>
  <c r="T52" i="3"/>
  <c r="T8" i="3"/>
  <c r="T38" i="3"/>
  <c r="T5" i="3"/>
  <c r="T25" i="3"/>
  <c r="T47" i="3"/>
  <c r="T12" i="3"/>
  <c r="T56" i="3"/>
  <c r="T23" i="3"/>
  <c r="T10" i="3"/>
  <c r="T14" i="3"/>
  <c r="T16" i="3"/>
  <c r="T26" i="3"/>
  <c r="S97" i="3" l="1"/>
  <c r="T41" i="3"/>
  <c r="T36" i="3"/>
  <c r="T73" i="3"/>
  <c r="T68" i="3"/>
  <c r="D20" i="10" l="1"/>
  <c r="H121" i="11" s="1"/>
  <c r="S101" i="3"/>
  <c r="T83" i="3"/>
  <c r="I121" i="11" l="1"/>
  <c r="L65" i="2" s="1"/>
  <c r="J121" i="11"/>
  <c r="H42" i="1" l="1"/>
  <c r="F47" i="23"/>
  <c r="F48" i="23"/>
  <c r="F49" i="23"/>
  <c r="F50" i="23"/>
  <c r="F68" i="23" l="1"/>
  <c r="R13" i="23" s="1"/>
  <c r="F70" i="23"/>
  <c r="R31" i="23" s="1"/>
  <c r="F71" i="23"/>
  <c r="R38" i="23" s="1"/>
  <c r="AV45" i="11" s="1"/>
  <c r="AW45" i="11" s="1"/>
  <c r="F69" i="23"/>
  <c r="R22" i="23" s="1"/>
  <c r="R24" i="23" l="1"/>
  <c r="AV32" i="11" s="1"/>
  <c r="R23" i="23"/>
  <c r="AV31" i="11" s="1"/>
  <c r="R26" i="23"/>
  <c r="AV34" i="11" s="1"/>
  <c r="R27" i="23"/>
  <c r="R25" i="23"/>
  <c r="AV33" i="11" s="1"/>
  <c r="R28" i="23"/>
  <c r="F67" i="23"/>
  <c r="F51" i="23"/>
  <c r="R32" i="23"/>
  <c r="AV40" i="11" s="1"/>
  <c r="R34" i="23"/>
  <c r="AV42" i="11" s="1"/>
  <c r="R33" i="23"/>
  <c r="AV41" i="11" s="1"/>
  <c r="R17" i="23"/>
  <c r="AV26" i="11" s="1"/>
  <c r="R16" i="23"/>
  <c r="AV25" i="11" s="1"/>
  <c r="R14" i="23"/>
  <c r="AV23" i="11" s="1"/>
  <c r="R15" i="23"/>
  <c r="AV24" i="11" s="1"/>
  <c r="AZ40" i="11" l="1"/>
  <c r="BA40" i="11" s="1"/>
  <c r="AW40" i="11"/>
  <c r="AW34" i="11"/>
  <c r="AZ34" i="11"/>
  <c r="BA34" i="11" s="1"/>
  <c r="AZ42" i="11"/>
  <c r="BA42" i="11" s="1"/>
  <c r="AW42" i="11"/>
  <c r="AW26" i="11"/>
  <c r="AZ26" i="11"/>
  <c r="BA26" i="11" s="1"/>
  <c r="F72" i="23"/>
  <c r="R5" i="23"/>
  <c r="R6" i="23" s="1"/>
  <c r="AW31" i="11"/>
  <c r="AZ31" i="11"/>
  <c r="BA31" i="11" s="1"/>
  <c r="AW23" i="11"/>
  <c r="AZ23" i="11"/>
  <c r="BA23" i="11" s="1"/>
  <c r="AZ25" i="11"/>
  <c r="BA25" i="11" s="1"/>
  <c r="AW25" i="11"/>
  <c r="AW24" i="11"/>
  <c r="AZ24" i="11"/>
  <c r="BA24" i="11" s="1"/>
  <c r="AW41" i="11"/>
  <c r="AZ41" i="11"/>
  <c r="BA41" i="11" s="1"/>
  <c r="AZ33" i="11"/>
  <c r="BA33" i="11" s="1"/>
  <c r="AW33" i="11"/>
  <c r="AW32" i="11"/>
  <c r="AZ32" i="11"/>
  <c r="BA32" i="11" s="1"/>
  <c r="R11" i="23" l="1"/>
  <c r="AV19" i="11" s="1"/>
  <c r="R7" i="23"/>
  <c r="AV15" i="11" s="1"/>
  <c r="R10" i="23"/>
  <c r="AV18" i="11" s="1"/>
  <c r="R8" i="23"/>
  <c r="AV16" i="11" s="1"/>
  <c r="AV14" i="11"/>
  <c r="R9" i="23"/>
  <c r="AV17" i="11" s="1"/>
  <c r="AW14" i="11" l="1"/>
  <c r="AZ14" i="11"/>
  <c r="BA14" i="11"/>
  <c r="E16" i="10"/>
  <c r="AV48" i="11"/>
  <c r="AW19" i="11"/>
  <c r="AZ19" i="11"/>
  <c r="BA19" i="11" s="1"/>
  <c r="AW16" i="11"/>
  <c r="AZ16" i="11"/>
  <c r="BA16" i="11" s="1"/>
  <c r="AW18" i="11"/>
  <c r="AZ18" i="11"/>
  <c r="BA18" i="11" s="1"/>
  <c r="AW17" i="11"/>
  <c r="AZ17" i="11"/>
  <c r="BA17" i="11" s="1"/>
  <c r="AW15" i="11"/>
  <c r="AZ15" i="11"/>
  <c r="BA15" i="11" s="1"/>
  <c r="AZ48" i="11" l="1"/>
  <c r="H61" i="2" s="1"/>
  <c r="E56" i="10" s="1"/>
  <c r="E20" i="10"/>
  <c r="E18" i="10"/>
  <c r="F18" i="10" s="1"/>
  <c r="J18" i="10" s="1"/>
  <c r="C119" i="11" s="1"/>
  <c r="E19" i="10"/>
  <c r="F19" i="10" s="1"/>
  <c r="J19" i="10" s="1"/>
  <c r="C120" i="11" s="1"/>
  <c r="E17" i="10"/>
  <c r="F17" i="10" s="1"/>
  <c r="J17" i="10" s="1"/>
  <c r="C118" i="11" s="1"/>
  <c r="BA48" i="11"/>
  <c r="AW48" i="11"/>
  <c r="AX15" i="11" s="1"/>
  <c r="F20" i="10"/>
  <c r="J20" i="10" s="1"/>
  <c r="C121" i="11" s="1"/>
  <c r="AX19" i="11" l="1"/>
  <c r="AX18" i="11"/>
  <c r="AX14" i="11"/>
  <c r="AX17" i="11"/>
  <c r="E61" i="10"/>
  <c r="AX27" i="11"/>
  <c r="H52" i="2"/>
  <c r="AX28" i="11"/>
  <c r="AX45" i="11"/>
  <c r="AX23" i="11"/>
  <c r="AX40" i="11"/>
  <c r="AX33" i="11"/>
  <c r="AX31" i="11"/>
  <c r="AX34" i="11"/>
  <c r="AX42" i="11"/>
  <c r="AX25" i="11"/>
  <c r="AX32" i="11"/>
  <c r="AX24" i="11"/>
  <c r="AX26" i="11"/>
  <c r="AX41" i="11"/>
  <c r="E21" i="10"/>
  <c r="AX16" i="11"/>
  <c r="AX48" i="11" l="1"/>
  <c r="H59" i="2"/>
  <c r="H62" i="2" s="1"/>
  <c r="BB27" i="11"/>
  <c r="BB28" i="11"/>
  <c r="BB25" i="11"/>
  <c r="BB23" i="11"/>
  <c r="BB26" i="11"/>
  <c r="BB41" i="11"/>
  <c r="BB31" i="11"/>
  <c r="BB32" i="11"/>
  <c r="BB40" i="11"/>
  <c r="BB34" i="11"/>
  <c r="BB24" i="11"/>
  <c r="BB33" i="11"/>
  <c r="BB42" i="11"/>
  <c r="BB18" i="11"/>
  <c r="BB19" i="11"/>
  <c r="BB17" i="11"/>
  <c r="BB16" i="11"/>
  <c r="BB15" i="11"/>
  <c r="BB14" i="11"/>
  <c r="AQ49" i="11"/>
  <c r="AQ51" i="11" l="1"/>
  <c r="AQ52" i="11"/>
  <c r="D117" i="11" s="1"/>
  <c r="BB48" i="11"/>
  <c r="H53" i="2" l="1"/>
  <c r="E117" i="11"/>
  <c r="D41" i="1"/>
  <c r="E124" i="11"/>
  <c r="H54" i="2" l="1"/>
  <c r="K76" i="3"/>
  <c r="K65" i="17" s="1"/>
  <c r="H72" i="2"/>
  <c r="D40" i="1"/>
  <c r="G117" i="11"/>
  <c r="G122" i="11" s="1"/>
  <c r="K77" i="3" l="1"/>
  <c r="K83" i="3" s="1"/>
  <c r="L76" i="3" s="1"/>
  <c r="L77" i="3" s="1"/>
  <c r="K65" i="18"/>
  <c r="K66" i="17" l="1"/>
  <c r="K72" i="17" s="1"/>
  <c r="K66" i="18"/>
  <c r="K72" i="18" s="1"/>
  <c r="L80" i="3"/>
  <c r="L81" i="3" s="1"/>
  <c r="L38" i="3"/>
  <c r="L24" i="3"/>
  <c r="L60" i="3"/>
  <c r="L25" i="3"/>
  <c r="L9" i="3"/>
  <c r="L12" i="3"/>
  <c r="L21" i="3"/>
  <c r="L54" i="3"/>
  <c r="L26" i="3"/>
  <c r="L20" i="3"/>
  <c r="L39" i="3"/>
  <c r="L44" i="3"/>
  <c r="L51" i="3"/>
  <c r="L19" i="3"/>
  <c r="L59" i="3"/>
  <c r="L56" i="3"/>
  <c r="L49" i="3"/>
  <c r="L14" i="3"/>
  <c r="L57" i="3"/>
  <c r="L23" i="3"/>
  <c r="L18" i="3"/>
  <c r="L72" i="3"/>
  <c r="L43" i="3"/>
  <c r="L62" i="3"/>
  <c r="L47" i="3"/>
  <c r="L15" i="3"/>
  <c r="L11" i="3"/>
  <c r="L45" i="3"/>
  <c r="L40" i="3"/>
  <c r="L8" i="3"/>
  <c r="L55" i="3"/>
  <c r="L50" i="3"/>
  <c r="L48" i="3"/>
  <c r="L71" i="3"/>
  <c r="L73" i="3" s="1"/>
  <c r="L66" i="3"/>
  <c r="L16" i="3"/>
  <c r="L46" i="3"/>
  <c r="L58" i="3"/>
  <c r="L17" i="3"/>
  <c r="L53" i="3"/>
  <c r="L61" i="3"/>
  <c r="L52" i="3"/>
  <c r="L63" i="3"/>
  <c r="L5" i="3"/>
  <c r="K84" i="3"/>
  <c r="K97" i="3" s="1"/>
  <c r="D16" i="10" s="1"/>
  <c r="H117" i="11" s="1"/>
  <c r="H122" i="11" s="1"/>
  <c r="L65" i="3"/>
  <c r="L67" i="3"/>
  <c r="L10" i="3"/>
  <c r="L22" i="3"/>
  <c r="L64" i="3"/>
  <c r="X36" i="3"/>
  <c r="F52" i="3"/>
  <c r="L36" i="3" l="1"/>
  <c r="K87" i="18"/>
  <c r="L68" i="3"/>
  <c r="L41" i="3"/>
  <c r="D21" i="10"/>
  <c r="F21" i="10" s="1"/>
  <c r="F16" i="10"/>
  <c r="J16" i="10" s="1"/>
  <c r="K88" i="17"/>
  <c r="D36" i="10" s="1"/>
  <c r="F43" i="3"/>
  <c r="E84" i="3"/>
  <c r="E97" i="3" s="1"/>
  <c r="D13" i="10" s="1"/>
  <c r="F76" i="3"/>
  <c r="F77" i="3" s="1"/>
  <c r="F71" i="3"/>
  <c r="F38" i="3"/>
  <c r="F8" i="3"/>
  <c r="F10" i="3"/>
  <c r="F40" i="3"/>
  <c r="F66" i="3"/>
  <c r="F48" i="3"/>
  <c r="F60" i="3"/>
  <c r="F14" i="3"/>
  <c r="F19" i="3"/>
  <c r="F72" i="3"/>
  <c r="F58" i="3"/>
  <c r="X83" i="3"/>
  <c r="F51" i="3"/>
  <c r="F9" i="3"/>
  <c r="F44" i="3"/>
  <c r="F22" i="3"/>
  <c r="F61" i="3"/>
  <c r="F12" i="3"/>
  <c r="F46" i="3"/>
  <c r="F23" i="3"/>
  <c r="F56" i="3"/>
  <c r="F54" i="3"/>
  <c r="F47" i="3"/>
  <c r="F62" i="3"/>
  <c r="F5" i="3"/>
  <c r="F57" i="3"/>
  <c r="F15" i="3"/>
  <c r="F63" i="3"/>
  <c r="F18" i="3"/>
  <c r="F11" i="3"/>
  <c r="F24" i="3"/>
  <c r="F65" i="3"/>
  <c r="F16" i="3"/>
  <c r="F45" i="3"/>
  <c r="F17" i="3"/>
  <c r="F67" i="3"/>
  <c r="F55" i="3"/>
  <c r="F59" i="3"/>
  <c r="F64" i="3"/>
  <c r="F53" i="3"/>
  <c r="F50" i="3"/>
  <c r="F20" i="3"/>
  <c r="F25" i="3"/>
  <c r="F26" i="3"/>
  <c r="F49" i="3"/>
  <c r="F39" i="3"/>
  <c r="F21" i="3"/>
  <c r="L83" i="3" l="1"/>
  <c r="D56" i="10"/>
  <c r="F56" i="10" s="1"/>
  <c r="J56" i="10" s="1"/>
  <c r="J61" i="10" s="1"/>
  <c r="K100" i="3"/>
  <c r="K101" i="3" s="1"/>
  <c r="H123" i="11"/>
  <c r="J117" i="11"/>
  <c r="I117" i="11"/>
  <c r="D61" i="10"/>
  <c r="F61" i="10" s="1"/>
  <c r="D41" i="10"/>
  <c r="F41" i="10" s="1"/>
  <c r="F36" i="10"/>
  <c r="J36" i="10" s="1"/>
  <c r="J41" i="10" s="1"/>
  <c r="J21" i="10"/>
  <c r="C117" i="11"/>
  <c r="F73" i="3"/>
  <c r="E65" i="2"/>
  <c r="F68" i="3"/>
  <c r="F41" i="3"/>
  <c r="H114" i="11"/>
  <c r="F13" i="10"/>
  <c r="J13" i="10" s="1"/>
  <c r="C114" i="11" s="1"/>
  <c r="I122" i="11" l="1"/>
  <c r="D42" i="1"/>
  <c r="H65" i="2"/>
  <c r="J114" i="11"/>
  <c r="I114" i="11"/>
  <c r="W36" i="3"/>
  <c r="D17" i="3"/>
  <c r="D38" i="3" l="1"/>
  <c r="H80" i="3"/>
  <c r="H81" i="3" s="1"/>
  <c r="H83" i="3" s="1"/>
  <c r="D43" i="3"/>
  <c r="F80" i="3"/>
  <c r="F81" i="3" s="1"/>
  <c r="D53" i="3"/>
  <c r="D67" i="3"/>
  <c r="D72" i="3"/>
  <c r="D62" i="3"/>
  <c r="D40" i="3"/>
  <c r="W83" i="3"/>
  <c r="D45" i="3"/>
  <c r="D66" i="3"/>
  <c r="D26" i="3"/>
  <c r="D55" i="3"/>
  <c r="D51" i="3"/>
  <c r="D80" i="3"/>
  <c r="D81" i="3" s="1"/>
  <c r="D5" i="3"/>
  <c r="D76" i="3"/>
  <c r="D77" i="3" s="1"/>
  <c r="D58" i="3"/>
  <c r="D52" i="3"/>
  <c r="D21" i="3"/>
  <c r="D20" i="3"/>
  <c r="D19" i="3"/>
  <c r="D9" i="3"/>
  <c r="D15" i="3"/>
  <c r="D48" i="3"/>
  <c r="D39" i="3"/>
  <c r="D18" i="3"/>
  <c r="D57" i="3"/>
  <c r="D23" i="3"/>
  <c r="D46" i="3"/>
  <c r="D10" i="3"/>
  <c r="D63" i="3"/>
  <c r="D60" i="3"/>
  <c r="D16" i="3"/>
  <c r="D22" i="3"/>
  <c r="D56" i="3"/>
  <c r="D12" i="3"/>
  <c r="D61" i="3"/>
  <c r="D65" i="3"/>
  <c r="C84" i="3"/>
  <c r="C97" i="3" s="1"/>
  <c r="D8" i="3"/>
  <c r="D71" i="3"/>
  <c r="D73" i="3" s="1"/>
  <c r="D14" i="3"/>
  <c r="D47" i="3"/>
  <c r="D64" i="3"/>
  <c r="D25" i="3"/>
  <c r="D59" i="3"/>
  <c r="D44" i="3"/>
  <c r="D11" i="3"/>
  <c r="D49" i="3"/>
  <c r="D54" i="3"/>
  <c r="D50" i="3"/>
  <c r="D68" i="3" l="1"/>
  <c r="C103" i="3"/>
  <c r="D65" i="2"/>
  <c r="D12" i="10"/>
  <c r="D41" i="3"/>
  <c r="H113" i="11" l="1"/>
  <c r="F12" i="10"/>
  <c r="J12" i="10" s="1"/>
  <c r="C113" i="11" s="1"/>
  <c r="J113" i="11" l="1"/>
  <c r="I113" i="11"/>
  <c r="F83" i="3"/>
  <c r="F36" i="3"/>
  <c r="D36" i="3"/>
  <c r="D8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Albert Ochuodho</author>
  </authors>
  <commentList>
    <comment ref="AL48" authorId="0" shapeId="0" xr:uid="{E41902FA-7760-4489-BD24-CF0AAFE97D6B}">
      <text>
        <r>
          <rPr>
            <b/>
            <sz val="9"/>
            <color indexed="81"/>
            <rFont val="Tahoma"/>
            <family val="2"/>
          </rPr>
          <t>Albert Ochuodho:</t>
        </r>
        <r>
          <rPr>
            <sz val="9"/>
            <color indexed="81"/>
            <rFont val="Tahoma"/>
            <family val="2"/>
          </rPr>
          <t xml:space="preserve">
Water  and  Metre Rent</t>
        </r>
      </text>
    </comment>
  </commentList>
</comments>
</file>

<file path=xl/sharedStrings.xml><?xml version="1.0" encoding="utf-8"?>
<sst xmlns="http://schemas.openxmlformats.org/spreadsheetml/2006/main" count="3623" uniqueCount="1118">
  <si>
    <t>Volumetric Charge</t>
  </si>
  <si>
    <t>(Ksh/m3)</t>
  </si>
  <si>
    <t xml:space="preserve">Water </t>
  </si>
  <si>
    <t>Type of customer</t>
  </si>
  <si>
    <t>2020-2021</t>
  </si>
  <si>
    <t>2021-2022</t>
  </si>
  <si>
    <t>2022-2023</t>
  </si>
  <si>
    <t>2023-2024</t>
  </si>
  <si>
    <t>2024-2025</t>
  </si>
  <si>
    <t>2025-2026</t>
  </si>
  <si>
    <t>Domestic/Residential</t>
  </si>
  <si>
    <t>Consumption Block</t>
  </si>
  <si>
    <t>Commercial</t>
  </si>
  <si>
    <t>0-600</t>
  </si>
  <si>
    <t>601-1200</t>
  </si>
  <si>
    <t>&gt;1200</t>
  </si>
  <si>
    <t>Water Kiosks</t>
  </si>
  <si>
    <t>Total Billing (Kshs)</t>
  </si>
  <si>
    <t>Average Tariff (Kshs)</t>
  </si>
  <si>
    <t>Cost coverage (%)</t>
  </si>
  <si>
    <t>Schools</t>
  </si>
  <si>
    <t>1.  Production and Purchase (m3)</t>
  </si>
  <si>
    <t>Total</t>
  </si>
  <si>
    <t>2.  Sales (m3)</t>
  </si>
  <si>
    <t xml:space="preserve">Total </t>
  </si>
  <si>
    <t>Residential/Domestic</t>
  </si>
  <si>
    <t>Public Schools</t>
  </si>
  <si>
    <t>As Percentage of Total Production and Purchase</t>
  </si>
  <si>
    <t>4.  Number of Customers</t>
  </si>
  <si>
    <t>Total Number of cutomers</t>
  </si>
  <si>
    <t>5.  Number of Connections</t>
  </si>
  <si>
    <t>6.  Billing / Connection (Kshs "Million")</t>
  </si>
  <si>
    <t>Total Collections including Billing for other Services</t>
  </si>
  <si>
    <t xml:space="preserve">Collection Efficiency </t>
  </si>
  <si>
    <t>7.  Billing of Other Services (Kshs "Million")</t>
  </si>
  <si>
    <t>Sewerage Revenues</t>
  </si>
  <si>
    <t>8.  Cost Coverage</t>
  </si>
  <si>
    <t xml:space="preserve">9.  Personnel </t>
  </si>
  <si>
    <t>Total Number of Staff</t>
  </si>
  <si>
    <t>Number per 1000 Connections</t>
  </si>
  <si>
    <t>10.  Payment of Regulatory Levy (Kshs "Million")</t>
  </si>
  <si>
    <t>Total Amount Due</t>
  </si>
  <si>
    <t>Total Amount Paid</t>
  </si>
  <si>
    <t xml:space="preserve">Year 2017/18 </t>
  </si>
  <si>
    <t xml:space="preserve">Increase of (2) to (1) </t>
  </si>
  <si>
    <t xml:space="preserve">Increase of (3) to (2) </t>
  </si>
  <si>
    <t xml:space="preserve">Increase of (4) to (3) </t>
  </si>
  <si>
    <t xml:space="preserve">Increase of (5) to (4) </t>
  </si>
  <si>
    <t xml:space="preserve">Increase of (6) to (5) </t>
  </si>
  <si>
    <t>1.  Operation &amp; Maintenance (O&amp;M)</t>
  </si>
  <si>
    <t>Personnel Expenditures</t>
  </si>
  <si>
    <t>a)</t>
  </si>
  <si>
    <t>Total Personnel Expenditures</t>
  </si>
  <si>
    <t xml:space="preserve">2017/18 </t>
  </si>
  <si>
    <t>Year (2017/18)                  % of Total</t>
  </si>
  <si>
    <t>b)</t>
  </si>
  <si>
    <t>Board Expenses</t>
  </si>
  <si>
    <t>c)</t>
  </si>
  <si>
    <t>Total Board Expenditures</t>
  </si>
  <si>
    <t>d)</t>
  </si>
  <si>
    <t>e)</t>
  </si>
  <si>
    <t>g)</t>
  </si>
  <si>
    <t>Asset renewal</t>
  </si>
  <si>
    <t>2.  Capital expenditure</t>
  </si>
  <si>
    <t>3.  Repayment of Debts</t>
  </si>
  <si>
    <t>Debt Repayment Per Annum</t>
  </si>
  <si>
    <t>4.   Totals including Loan Repayment</t>
  </si>
  <si>
    <t>5.  Explanations for Increased Personnel cost</t>
  </si>
  <si>
    <t>to be filled in by WASREB</t>
  </si>
  <si>
    <t>Unjustified Costs</t>
  </si>
  <si>
    <t>Item</t>
  </si>
  <si>
    <t>Justified O&amp;M Costs Year 2016</t>
  </si>
  <si>
    <t>Proposed Deductions Year 2016 (Forecast)</t>
  </si>
  <si>
    <t>Justified O&amp;M Costs Year 2017</t>
  </si>
  <si>
    <t>Proposed Deductions Year 2017(Forecast)</t>
  </si>
  <si>
    <t>Justified O&amp;M Costs Year 2018</t>
  </si>
  <si>
    <t>Year (2018/19)                  % of Total</t>
  </si>
  <si>
    <t>Year (2019/20)                  % of Total</t>
  </si>
  <si>
    <t>Year (2020/21)                  % of Total</t>
  </si>
  <si>
    <t>Year (2021/22)                  % of Total</t>
  </si>
  <si>
    <t>Year (2022/23)                  % of Total</t>
  </si>
  <si>
    <t>Year (2023/24)                  % of Total</t>
  </si>
  <si>
    <t>Year (2024/25)                  % of Total</t>
  </si>
  <si>
    <t>O&amp; M Apportionment Water (%)</t>
  </si>
  <si>
    <t>Name of WSP:</t>
  </si>
  <si>
    <t>WSP Category:</t>
  </si>
  <si>
    <t>Creditor</t>
  </si>
  <si>
    <t>Amount in Ksh</t>
  </si>
  <si>
    <t>Amount of debts by creditor for WSP</t>
  </si>
  <si>
    <t>Total amount of debt in Kshs:</t>
  </si>
  <si>
    <t>Total Outstanding debts</t>
  </si>
  <si>
    <t>2021/22</t>
  </si>
  <si>
    <t>2022/23</t>
  </si>
  <si>
    <t>2023/24</t>
  </si>
  <si>
    <t>2024/25</t>
  </si>
  <si>
    <t>2025/26</t>
  </si>
  <si>
    <t>To be filled by WASREB</t>
  </si>
  <si>
    <t>Comments on repayment rate</t>
  </si>
  <si>
    <t>Performance Score</t>
  </si>
  <si>
    <t>Achieved</t>
  </si>
  <si>
    <t>Benchmark</t>
  </si>
  <si>
    <t>Deviation from</t>
  </si>
  <si>
    <t>Rate</t>
  </si>
  <si>
    <t xml:space="preserve">1) </t>
  </si>
  <si>
    <t>Metering Ratio</t>
  </si>
  <si>
    <t>Explanations</t>
  </si>
  <si>
    <t>2)</t>
  </si>
  <si>
    <t>Water Quality</t>
  </si>
  <si>
    <t>Adherence to Water Quality Guidelines</t>
  </si>
  <si>
    <t>No of Tests</t>
  </si>
  <si>
    <t>Carried out</t>
  </si>
  <si>
    <t>Prescribed</t>
  </si>
  <si>
    <t>Deviation in %</t>
  </si>
  <si>
    <t>Daily Tests</t>
  </si>
  <si>
    <t>Res. Chlorine</t>
  </si>
  <si>
    <t>PH</t>
  </si>
  <si>
    <t>Colour</t>
  </si>
  <si>
    <t>Turbidity</t>
  </si>
  <si>
    <t>Odour</t>
  </si>
  <si>
    <t>BOD and COD</t>
  </si>
  <si>
    <t>Monthly Tests</t>
  </si>
  <si>
    <t>Bacteriological Tests</t>
  </si>
  <si>
    <t>30 Tests (Monthly)</t>
  </si>
  <si>
    <t>Heavy metals</t>
  </si>
  <si>
    <t>4 tests (quarterly)</t>
  </si>
  <si>
    <t>Water Quality according to standards</t>
  </si>
  <si>
    <t>achieved</t>
  </si>
  <si>
    <t>Percentage of tests according to</t>
  </si>
  <si>
    <t>&gt;99%</t>
  </si>
  <si>
    <t>-</t>
  </si>
  <si>
    <t>3)</t>
  </si>
  <si>
    <t>Incoming Sewage and Treated Effluent</t>
  </si>
  <si>
    <t>No. of Tests</t>
  </si>
  <si>
    <t>Carried Out</t>
  </si>
  <si>
    <r>
      <t>BOD</t>
    </r>
    <r>
      <rPr>
        <vertAlign val="subscript"/>
        <sz val="9"/>
        <rFont val="Arial"/>
        <family val="2"/>
      </rPr>
      <t xml:space="preserve">5 </t>
    </r>
    <r>
      <rPr>
        <sz val="9"/>
        <rFont val="Arial"/>
        <family val="2"/>
      </rPr>
      <t>- Effluent</t>
    </r>
  </si>
  <si>
    <t>COD - Influent &amp; Effluent</t>
  </si>
  <si>
    <t>Quarterly Tests</t>
  </si>
  <si>
    <t>Heavy Metals</t>
  </si>
  <si>
    <t>4)</t>
  </si>
  <si>
    <t>Average Service hours/day</t>
  </si>
  <si>
    <t>Hours</t>
  </si>
  <si>
    <t>5)</t>
  </si>
  <si>
    <t>Any programs documenting specific efforts of the WSP</t>
  </si>
  <si>
    <t>Total Score</t>
  </si>
  <si>
    <t>No.</t>
  </si>
  <si>
    <t>1)</t>
  </si>
  <si>
    <t>Total O&amp;M, Regulatory levy, Capex,Lease Fees, Debts and Administrative Costs for WSP</t>
  </si>
  <si>
    <t>Required</t>
  </si>
  <si>
    <t>Average</t>
  </si>
  <si>
    <t>Collection</t>
  </si>
  <si>
    <t>Tariff per</t>
  </si>
  <si>
    <t>Total Quantity of water Billed</t>
  </si>
  <si>
    <t>Efficiency</t>
  </si>
  <si>
    <t>(in Ksh)</t>
  </si>
  <si>
    <t>(in %)</t>
  </si>
  <si>
    <t>Previous Year 2017/2018</t>
  </si>
  <si>
    <t>Previous Year 2018/2019</t>
  </si>
  <si>
    <t>Current Year 2019/2020</t>
  </si>
  <si>
    <t>Proposed Tariff Period Year 2020/2021</t>
  </si>
  <si>
    <t>Proposed Tariff Period Year 2021/2022</t>
  </si>
  <si>
    <t>Proposed Tariff Period Year 2022/2023</t>
  </si>
  <si>
    <t>Proposed Tariff Period Year 2023/2024</t>
  </si>
  <si>
    <t>Proposed Tariff Period Year 2024/2025</t>
  </si>
  <si>
    <t>Proposed Tariff Period Year 2025/2026</t>
  </si>
  <si>
    <t>Proposed Tariff Period Total</t>
  </si>
  <si>
    <t xml:space="preserve">a) Water and Sewerage </t>
  </si>
  <si>
    <t xml:space="preserve">b) Water </t>
  </si>
  <si>
    <t>c) Sewerage</t>
  </si>
  <si>
    <t>Year 2017/18</t>
  </si>
  <si>
    <t>Year 2018/19</t>
  </si>
  <si>
    <t>Year 2019/20</t>
  </si>
  <si>
    <t>Year 2020/21</t>
  </si>
  <si>
    <t>Year 2021/22</t>
  </si>
  <si>
    <t>Year 2022/23</t>
  </si>
  <si>
    <t>Year 2023/24</t>
  </si>
  <si>
    <t>Year 2024/25</t>
  </si>
  <si>
    <t>Year 2025/26</t>
  </si>
  <si>
    <t xml:space="preserve">Connection </t>
  </si>
  <si>
    <t>Volumetric</t>
  </si>
  <si>
    <t>Number</t>
  </si>
  <si>
    <t>Monthly</t>
  </si>
  <si>
    <t>Quantity</t>
  </si>
  <si>
    <t>Annual</t>
  </si>
  <si>
    <t>Size</t>
  </si>
  <si>
    <t>Charge</t>
  </si>
  <si>
    <t xml:space="preserve">of </t>
  </si>
  <si>
    <t>Meter</t>
  </si>
  <si>
    <t>billed per</t>
  </si>
  <si>
    <t>Billing</t>
  </si>
  <si>
    <t>Billing as</t>
  </si>
  <si>
    <t>Revenues</t>
  </si>
  <si>
    <t>(mm)*</t>
  </si>
  <si>
    <t>Connections</t>
  </si>
  <si>
    <t>Rent</t>
  </si>
  <si>
    <t>year</t>
  </si>
  <si>
    <t>=</t>
  </si>
  <si>
    <t>% of Total</t>
  </si>
  <si>
    <t>(a)</t>
  </si>
  <si>
    <t>(b)</t>
  </si>
  <si>
    <t>(c )</t>
  </si>
  <si>
    <t>(d)</t>
  </si>
  <si>
    <t>(f)</t>
  </si>
  <si>
    <t>Water</t>
  </si>
  <si>
    <t>Sewage</t>
  </si>
  <si>
    <t>Public schools</t>
  </si>
  <si>
    <t>Billing of Other Services</t>
  </si>
  <si>
    <t>Total Billing</t>
  </si>
  <si>
    <t>Average Tariff</t>
  </si>
  <si>
    <t>* The connection Size has no relation to the Consumption Blocks for the various Consumer Categories</t>
  </si>
  <si>
    <t>Year</t>
  </si>
  <si>
    <t>Avg Tariff</t>
  </si>
  <si>
    <t>Total Calc</t>
  </si>
  <si>
    <t xml:space="preserve">Collection </t>
  </si>
  <si>
    <t>Projected</t>
  </si>
  <si>
    <t>Proj costs</t>
  </si>
  <si>
    <t>Cost</t>
  </si>
  <si>
    <t>Profit</t>
  </si>
  <si>
    <t>Annex 6</t>
  </si>
  <si>
    <t>Annex 7</t>
  </si>
  <si>
    <t>Efficiency (%)</t>
  </si>
  <si>
    <t>Coverage</t>
  </si>
  <si>
    <t>2017/2018*</t>
  </si>
  <si>
    <t>2018/2019*</t>
  </si>
  <si>
    <t>2019/2020*</t>
  </si>
  <si>
    <t>2020/2021*</t>
  </si>
  <si>
    <t>2021/2022*</t>
  </si>
  <si>
    <t>2022/2023*</t>
  </si>
  <si>
    <t>2023/2024*</t>
  </si>
  <si>
    <t>2024/2025*</t>
  </si>
  <si>
    <t>2025/2026*</t>
  </si>
  <si>
    <t>Ksh/m3</t>
  </si>
  <si>
    <t>Difference =</t>
  </si>
  <si>
    <t>Current Tariff</t>
  </si>
  <si>
    <t>Commodity</t>
  </si>
  <si>
    <t>Fixed</t>
  </si>
  <si>
    <t>Tariff as %</t>
  </si>
  <si>
    <t>(KSh/m3)</t>
  </si>
  <si>
    <t>(Ksh/Customer/Month)</t>
  </si>
  <si>
    <t>of average Tariff</t>
  </si>
  <si>
    <t>(1)</t>
  </si>
  <si>
    <t>(2)</t>
  </si>
  <si>
    <t>(1)/average Tariff</t>
  </si>
  <si>
    <t>Actual</t>
  </si>
  <si>
    <t>(Forecast)</t>
  </si>
  <si>
    <t>(Target)</t>
  </si>
  <si>
    <t>1. Minimum Service Levels</t>
  </si>
  <si>
    <t>Unit</t>
  </si>
  <si>
    <t>SL-1</t>
  </si>
  <si>
    <t>Water Supply</t>
  </si>
  <si>
    <t>%</t>
  </si>
  <si>
    <t>Sanitation</t>
  </si>
  <si>
    <t>SL-2</t>
  </si>
  <si>
    <t>Drinking Water Quality</t>
  </si>
  <si>
    <t>Number of samples tested(Residue Chroline)</t>
  </si>
  <si>
    <t>Parameters meeting stipulated guidelines</t>
  </si>
  <si>
    <t>SL-3</t>
  </si>
  <si>
    <t>Service Hours (Water Quantity)</t>
  </si>
  <si>
    <t>SL-4</t>
  </si>
  <si>
    <t>Billing for Services</t>
  </si>
  <si>
    <t>SL-5</t>
  </si>
  <si>
    <t>Client Contacts</t>
  </si>
  <si>
    <t>Response time to complaints(days)</t>
  </si>
  <si>
    <t>Days</t>
  </si>
  <si>
    <t>Response time to meter request(days)</t>
  </si>
  <si>
    <t>Connection time(days)</t>
  </si>
  <si>
    <t>Waiting time for bill payment(minutes)</t>
  </si>
  <si>
    <t>Minutes</t>
  </si>
  <si>
    <t>SL-6</t>
  </si>
  <si>
    <t>Interuptions of Water Supply $</t>
  </si>
  <si>
    <t>Blockage of Sewerage</t>
  </si>
  <si>
    <t>20-36 hours</t>
  </si>
  <si>
    <t>36-48 hours</t>
  </si>
  <si>
    <t>&gt;48 hours</t>
  </si>
  <si>
    <t>SL-7</t>
  </si>
  <si>
    <t>Pressure in the Water Supply Network</t>
  </si>
  <si>
    <t>m</t>
  </si>
  <si>
    <t>SL-8</t>
  </si>
  <si>
    <t>Unjustified Disconnections(%)</t>
  </si>
  <si>
    <t>SL-9</t>
  </si>
  <si>
    <t>Sewer Flooding(%)</t>
  </si>
  <si>
    <t>SL-10</t>
  </si>
  <si>
    <t>Quality of Discharged Effluent(%)</t>
  </si>
  <si>
    <t>Number of samples tested</t>
  </si>
  <si>
    <t xml:space="preserve">Parameters meeting stipulated guidelines </t>
  </si>
  <si>
    <t>SL-11</t>
  </si>
  <si>
    <t>Support to Public Institutions</t>
  </si>
  <si>
    <t>2. Other Performance Indicators</t>
  </si>
  <si>
    <t>Water affordability(%)</t>
  </si>
  <si>
    <t>(in relation to average income of poor HH)</t>
  </si>
  <si>
    <t>Collection Efficiency</t>
  </si>
  <si>
    <t>Staffing Ratio</t>
  </si>
  <si>
    <t>(Staff/1,000 connections)</t>
  </si>
  <si>
    <t>Disconnection Ratio(%)</t>
  </si>
  <si>
    <t>Outstanding Supplier Loans</t>
  </si>
  <si>
    <t>months</t>
  </si>
  <si>
    <t>3. Performance Indicators - For Reporting Purposes Only</t>
  </si>
  <si>
    <t>Average Water Production per Capita</t>
  </si>
  <si>
    <t>Average Water Consumption per Capita</t>
  </si>
  <si>
    <t>Unit Operation Cost</t>
  </si>
  <si>
    <t>Kshs./m3</t>
  </si>
  <si>
    <t>a. (total cost of operation/water produced)</t>
  </si>
  <si>
    <t>b. ((total O&amp;M + Levy)/water produced)</t>
  </si>
  <si>
    <t>c. ((total O&amp;M + Levy + Debts)/water produced)</t>
  </si>
  <si>
    <t>Liquidity</t>
  </si>
  <si>
    <t>(current assets/current liabilities)</t>
  </si>
  <si>
    <t>Investment Ratio</t>
  </si>
  <si>
    <t>Total Investiments</t>
  </si>
  <si>
    <t>Total Collections</t>
  </si>
  <si>
    <t>Ratio - (total investiments/total collections)</t>
  </si>
  <si>
    <t>Item submitted?</t>
  </si>
  <si>
    <t>Information complete?</t>
  </si>
  <si>
    <t>If no, comments on action required</t>
  </si>
  <si>
    <t>Yes</t>
  </si>
  <si>
    <t>No</t>
  </si>
  <si>
    <t>Justification of the Tariff Adjustment Proposal</t>
  </si>
  <si>
    <t>Annexes:</t>
  </si>
  <si>
    <t xml:space="preserve">Annex 1: </t>
  </si>
  <si>
    <t>Annex 2:</t>
  </si>
  <si>
    <t>General Data</t>
  </si>
  <si>
    <t>Analysis of WSP Expenditure</t>
  </si>
  <si>
    <t>Annex 10 - Tariff Proposal Submission Checklist</t>
  </si>
  <si>
    <t>6)</t>
  </si>
  <si>
    <t>Annex 4:</t>
  </si>
  <si>
    <t>7)</t>
  </si>
  <si>
    <t>Performance Analysis WSP</t>
  </si>
  <si>
    <t>9)</t>
  </si>
  <si>
    <t>Annex 6:</t>
  </si>
  <si>
    <t>Calculation of average Tariff</t>
  </si>
  <si>
    <t>10)</t>
  </si>
  <si>
    <t>Annex 7:</t>
  </si>
  <si>
    <t>Revenue Projections / Tariff Structure</t>
  </si>
  <si>
    <t>11)</t>
  </si>
  <si>
    <t>Annex 8:</t>
  </si>
  <si>
    <t>Tariff Schedule</t>
  </si>
  <si>
    <t>12)</t>
  </si>
  <si>
    <t>Annex 9:</t>
  </si>
  <si>
    <t>General Performance Assessment</t>
  </si>
  <si>
    <t>13)</t>
  </si>
  <si>
    <t>Annex 10:</t>
  </si>
  <si>
    <t>Tariff Proposal Submission Checklist</t>
  </si>
  <si>
    <t>14)</t>
  </si>
  <si>
    <t>Annex 11:</t>
  </si>
  <si>
    <t>Tariff Study</t>
  </si>
  <si>
    <t>15)</t>
  </si>
  <si>
    <t>Business Plan (Current version) and Summary of Implementation Status for the WSP, including Capital Investiment Plan (as required in Business Planning Guidelines)</t>
  </si>
  <si>
    <t>16)</t>
  </si>
  <si>
    <t>6-40</t>
  </si>
  <si>
    <t>2017/18</t>
  </si>
  <si>
    <t>2018/19</t>
  </si>
  <si>
    <t>Honoraria</t>
  </si>
  <si>
    <t>2019/20</t>
  </si>
  <si>
    <t>Total Licensing, lease and levy</t>
  </si>
  <si>
    <t>Total asset renewal</t>
  </si>
  <si>
    <t xml:space="preserve">Increase of (2017/18)  to  (2018/19)    </t>
  </si>
  <si>
    <t xml:space="preserve">Increase of   (2018/19)  to (2019/20)  </t>
  </si>
  <si>
    <t xml:space="preserve">Increase of (2015/16)  to  (2016/17)    </t>
  </si>
  <si>
    <t>Water Production m3</t>
  </si>
  <si>
    <t xml:space="preserve">Total Production </t>
  </si>
  <si>
    <t>Purchase for resale</t>
  </si>
  <si>
    <t>m3/year</t>
  </si>
  <si>
    <t>m3/day</t>
  </si>
  <si>
    <t>Industrial consumers</t>
  </si>
  <si>
    <t>Government Institutions</t>
  </si>
  <si>
    <t>Standpipes/Kiosks</t>
  </si>
  <si>
    <t>Operating Income</t>
  </si>
  <si>
    <t>Meter rent</t>
  </si>
  <si>
    <t>Other income</t>
  </si>
  <si>
    <t>Total billing including other services</t>
  </si>
  <si>
    <t>Total active sewer connections</t>
  </si>
  <si>
    <t>Range (m3)</t>
  </si>
  <si>
    <t>Tarriff Band</t>
  </si>
  <si>
    <t>Connections%</t>
  </si>
  <si>
    <t>Volume %</t>
  </si>
  <si>
    <t>Consumption in m3</t>
  </si>
  <si>
    <t>Commercial/Industrial</t>
  </si>
  <si>
    <t>Government institutions</t>
  </si>
  <si>
    <t xml:space="preserve">0-6m3 </t>
  </si>
  <si>
    <t>2020/21</t>
  </si>
  <si>
    <t>Revised band</t>
  </si>
  <si>
    <t>&gt;1200m3</t>
  </si>
  <si>
    <t>Previous tariff</t>
  </si>
  <si>
    <t>Revised tariff</t>
  </si>
  <si>
    <r>
      <t>0-6m</t>
    </r>
    <r>
      <rPr>
        <vertAlign val="superscript"/>
        <sz val="11"/>
        <rFont val="Calibri"/>
        <family val="2"/>
        <scheme val="minor"/>
      </rPr>
      <t xml:space="preserve">3 </t>
    </r>
  </si>
  <si>
    <r>
      <t>0-600m</t>
    </r>
    <r>
      <rPr>
        <vertAlign val="superscript"/>
        <sz val="11"/>
        <rFont val="Calibri"/>
        <family val="2"/>
        <scheme val="minor"/>
      </rPr>
      <t xml:space="preserve">3 </t>
    </r>
  </si>
  <si>
    <r>
      <t>601-1200m</t>
    </r>
    <r>
      <rPr>
        <vertAlign val="superscript"/>
        <sz val="11"/>
        <rFont val="Calibri"/>
        <family val="2"/>
        <scheme val="minor"/>
      </rPr>
      <t>3</t>
    </r>
  </si>
  <si>
    <t>Water sales (m3)</t>
  </si>
  <si>
    <t>Commercial / Industrial</t>
  </si>
  <si>
    <t>Revised Volumes (m3)</t>
  </si>
  <si>
    <t>Revised number of connections</t>
  </si>
  <si>
    <t>Sewerage Assumptions</t>
  </si>
  <si>
    <t>Percentage Volumes</t>
  </si>
  <si>
    <t>Perentage cost</t>
  </si>
  <si>
    <t>Connection</t>
  </si>
  <si>
    <t>Revised Tariff Bands</t>
  </si>
  <si>
    <t>Domestic consumer</t>
  </si>
  <si>
    <t>Volumetric charges</t>
  </si>
  <si>
    <t>Consumers</t>
  </si>
  <si>
    <t>Yearly increases</t>
  </si>
  <si>
    <t>Water billing inclusive of meter rent</t>
  </si>
  <si>
    <t>Total connections</t>
  </si>
  <si>
    <t>Period Year 2020/2021</t>
  </si>
  <si>
    <t>Total Quantity of water + sewer billed</t>
  </si>
  <si>
    <t>Sewerage Volumes (m3)</t>
  </si>
  <si>
    <t>Industrial/Commercial</t>
  </si>
  <si>
    <t>Government institution</t>
  </si>
  <si>
    <t>Active water connections</t>
  </si>
  <si>
    <t xml:space="preserve">Sewer connections </t>
  </si>
  <si>
    <t>Total active water connections</t>
  </si>
  <si>
    <t xml:space="preserve">Cost Coverage of Total O&amp;M Cost WSP (O&amp;M Cost WSP, Regulatory Levy and Administrative cost WWDA for WSP) </t>
  </si>
  <si>
    <t>3.  Non Revenue Water - NRW (m3)</t>
  </si>
  <si>
    <t>Non Revenue Water</t>
  </si>
  <si>
    <t>Growth rate in volumes</t>
  </si>
  <si>
    <t>2019/2020</t>
  </si>
  <si>
    <t>2020/2021</t>
  </si>
  <si>
    <t>Sewer price as % of water price</t>
  </si>
  <si>
    <t>Total Licensing and levy</t>
  </si>
  <si>
    <t>Existing production</t>
  </si>
  <si>
    <t>Licensing and levy</t>
  </si>
  <si>
    <t xml:space="preserve">Loan repayment </t>
  </si>
  <si>
    <t>7-20</t>
  </si>
  <si>
    <t>Collection Efficiency Benchmark</t>
  </si>
  <si>
    <t>NRW  Benchmark</t>
  </si>
  <si>
    <t>Interest payments</t>
  </si>
  <si>
    <t xml:space="preserve">Principal </t>
  </si>
  <si>
    <t>Basic Salary</t>
  </si>
  <si>
    <t>Medical Allowance</t>
  </si>
  <si>
    <t>Leave Allowance</t>
  </si>
  <si>
    <t>Transfer Allowance</t>
  </si>
  <si>
    <t>Commuter Allowance</t>
  </si>
  <si>
    <t>House Allowance</t>
  </si>
  <si>
    <t>Provident Fund</t>
  </si>
  <si>
    <t>NSSF Employer</t>
  </si>
  <si>
    <t>Acting Allowance</t>
  </si>
  <si>
    <t>Special Duty Allowance</t>
  </si>
  <si>
    <t>Casual Wages</t>
  </si>
  <si>
    <t>Performance Reward</t>
  </si>
  <si>
    <t>Directors Emoluments</t>
  </si>
  <si>
    <t>WIBA</t>
  </si>
  <si>
    <t>Postage, Telephone and Internet</t>
  </si>
  <si>
    <t>Transportation, travelling and Subsistence</t>
  </si>
  <si>
    <t>Funeral Expense</t>
  </si>
  <si>
    <t>Staff Training Expense</t>
  </si>
  <si>
    <t>Security Services</t>
  </si>
  <si>
    <t>Fuel</t>
  </si>
  <si>
    <t>Software Maintenance</t>
  </si>
  <si>
    <t>Lab Reagents</t>
  </si>
  <si>
    <t>Domestic Requisites/ Hospitality</t>
  </si>
  <si>
    <t>Social Corporate Responsibility</t>
  </si>
  <si>
    <t>Gratuity</t>
  </si>
  <si>
    <t>Motor Vehicle Repairs</t>
  </si>
  <si>
    <t>Uniform &amp; Protective clothing</t>
  </si>
  <si>
    <t>Office building Repairs</t>
  </si>
  <si>
    <t>Subscription Fees</t>
  </si>
  <si>
    <t>Publicity &amp; Advertisement</t>
  </si>
  <si>
    <t>Computer Accessories</t>
  </si>
  <si>
    <t>Motor Vehicle Insurance</t>
  </si>
  <si>
    <t>Bank Charges and Commissions</t>
  </si>
  <si>
    <t>Auditor's Remuneration</t>
  </si>
  <si>
    <t>Legal Fees</t>
  </si>
  <si>
    <t>Games&amp; Sports</t>
  </si>
  <si>
    <t>Consultancy/ Profession Fees</t>
  </si>
  <si>
    <t>Water sales</t>
  </si>
  <si>
    <t>Sewer Services charges</t>
  </si>
  <si>
    <t>Cost of sales</t>
  </si>
  <si>
    <t>Directors fees</t>
  </si>
  <si>
    <t>Total admin expenses</t>
  </si>
  <si>
    <t>Total personell expenses</t>
  </si>
  <si>
    <t xml:space="preserve">Depreciation </t>
  </si>
  <si>
    <t>Aministration Expenses</t>
  </si>
  <si>
    <t>License fee(WASREB)</t>
  </si>
  <si>
    <t>Total Administration Costs</t>
  </si>
  <si>
    <t>Finance Cost</t>
  </si>
  <si>
    <t>Cost of Sales</t>
  </si>
  <si>
    <t>Total Costs</t>
  </si>
  <si>
    <t xml:space="preserve">Year (2019/20)              </t>
  </si>
  <si>
    <t>staff levels</t>
  </si>
  <si>
    <t xml:space="preserve">21-50m3 </t>
  </si>
  <si>
    <t xml:space="preserve">51-100m3 </t>
  </si>
  <si>
    <t xml:space="preserve">101-300m3 </t>
  </si>
  <si>
    <t>&gt;300m3</t>
  </si>
  <si>
    <t xml:space="preserve">7-20m3 </t>
  </si>
  <si>
    <t>Tariff Band</t>
  </si>
  <si>
    <t>51-100</t>
  </si>
  <si>
    <t>101-300</t>
  </si>
  <si>
    <t>&gt;300</t>
  </si>
  <si>
    <t>Domestic/residential</t>
  </si>
  <si>
    <t>Industrial</t>
  </si>
  <si>
    <t>Water kiosks</t>
  </si>
  <si>
    <t>Sewer Volumes (m3)</t>
  </si>
  <si>
    <t>Number of Connections (water)</t>
  </si>
  <si>
    <t>Number of Connections (sewer)</t>
  </si>
  <si>
    <t>21-50</t>
  </si>
  <si>
    <t>Proportion %</t>
  </si>
  <si>
    <t>Average %</t>
  </si>
  <si>
    <t>Commercial/residential</t>
  </si>
  <si>
    <t>Loan Schedule : WorldBank Loan</t>
  </si>
  <si>
    <t>Financial Year</t>
  </si>
  <si>
    <t>Financial Period</t>
  </si>
  <si>
    <t>Disbursing</t>
  </si>
  <si>
    <t>Capital Due</t>
  </si>
  <si>
    <t>Interest Due</t>
  </si>
  <si>
    <t>Periodic Reimbusement</t>
  </si>
  <si>
    <t>Annual Reimb.</t>
  </si>
  <si>
    <t>Interest Rate</t>
  </si>
  <si>
    <t>Ksh'000</t>
  </si>
  <si>
    <t>Ksh</t>
  </si>
  <si>
    <t>Loan Schedule : KfW Loan</t>
  </si>
  <si>
    <t>Principal repayments</t>
  </si>
  <si>
    <t>Loan Schedule : AfD Loan</t>
  </si>
  <si>
    <t>KfW</t>
  </si>
  <si>
    <t>Total Reimbursement</t>
  </si>
  <si>
    <t>World  Bank</t>
  </si>
  <si>
    <t>Growth</t>
  </si>
  <si>
    <t>Average growth</t>
  </si>
  <si>
    <t>proportion %</t>
  </si>
  <si>
    <t>average</t>
  </si>
  <si>
    <t>Asssumed growth</t>
  </si>
  <si>
    <t>Commercial/industrial</t>
  </si>
  <si>
    <t>2017/2018</t>
  </si>
  <si>
    <t>2018/2019</t>
  </si>
  <si>
    <t>2021/2022</t>
  </si>
  <si>
    <t>2022/2023</t>
  </si>
  <si>
    <t>2023/2024</t>
  </si>
  <si>
    <t>2024/2025</t>
  </si>
  <si>
    <t>2025/2026</t>
  </si>
  <si>
    <t>Total Sales</t>
  </si>
  <si>
    <t xml:space="preserve">Year (2018/19)  </t>
  </si>
  <si>
    <t>Objective</t>
  </si>
  <si>
    <t>Strategy</t>
  </si>
  <si>
    <t>To Increase water production and supply</t>
  </si>
  <si>
    <t>Rehabilitation of old Kakamega and Shitoli water treatment works</t>
  </si>
  <si>
    <t>Type of funding</t>
  </si>
  <si>
    <t xml:space="preserve">Increase of storage capacity by 10,000m3 </t>
  </si>
  <si>
    <t>Internal: KACWASCO</t>
  </si>
  <si>
    <t>Rehabilitation of water distribution pipeline networks</t>
  </si>
  <si>
    <t>Purchase of two water bowsers</t>
  </si>
  <si>
    <t>Purchase of two exhausters</t>
  </si>
  <si>
    <t>Purchase of one flushing unit</t>
  </si>
  <si>
    <t>Solarization of boreholes</t>
  </si>
  <si>
    <t>Solarization of offices</t>
  </si>
  <si>
    <t>Consumer metering 20,000 meters</t>
  </si>
  <si>
    <t>Reduction of NRW</t>
  </si>
  <si>
    <t>Purchase of laboratory equipment</t>
  </si>
  <si>
    <r>
      <t>Construction of 45,000m</t>
    </r>
    <r>
      <rPr>
        <vertAlign val="superscript"/>
        <sz val="13.5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/d treatment plant at Chimoi, 10,000m3 storage reservoir, transmission and distribution mains</t>
    </r>
  </si>
  <si>
    <t>Expanding water distribution pipeline networks by 20km of assorted sizes</t>
  </si>
  <si>
    <t>To increase sanitation coverage</t>
  </si>
  <si>
    <t>Expanding sewerage network coverage within Kakamega and Mumias towns</t>
  </si>
  <si>
    <t>Rehabilitation of existing sewerage infrastructure within Kakamega and Mumias towns.</t>
  </si>
  <si>
    <t>Construction of onsite sanitation infrastructures in areas without sewerage infrastructure.</t>
  </si>
  <si>
    <t>Purchase of vehicles and motorbikes for O&amp;M</t>
  </si>
  <si>
    <t>Purchase of a stationery meter test bench and mobile meter test kits</t>
  </si>
  <si>
    <t>To enhance water quality and sewer effluent quality</t>
  </si>
  <si>
    <t>Internal and external</t>
  </si>
  <si>
    <t>Total funding external</t>
  </si>
  <si>
    <t>Total funding internal</t>
  </si>
  <si>
    <t>Total costs</t>
  </si>
  <si>
    <t>Total Internal Investments cost</t>
  </si>
  <si>
    <t>Internal Investment Project cost summary</t>
  </si>
  <si>
    <t>Amortisation schedule</t>
  </si>
  <si>
    <t>Buildings and civil works</t>
  </si>
  <si>
    <t>Plant and machinery</t>
  </si>
  <si>
    <t>Motor vehicles, including motor cycles</t>
  </si>
  <si>
    <t>Computers and related equipment</t>
  </si>
  <si>
    <t>Yearly depn</t>
  </si>
  <si>
    <t>Water supply infrastructure</t>
  </si>
  <si>
    <t>Water meters</t>
  </si>
  <si>
    <t xml:space="preserve">Year 2018/19 </t>
  </si>
  <si>
    <t xml:space="preserve">&gt;300m3 </t>
  </si>
  <si>
    <t>Current tariff</t>
  </si>
  <si>
    <t xml:space="preserve">URBAN </t>
  </si>
  <si>
    <t xml:space="preserve">TOTAL </t>
  </si>
  <si>
    <t>21/22</t>
  </si>
  <si>
    <t>22/23</t>
  </si>
  <si>
    <t>23/24</t>
  </si>
  <si>
    <t>24/25</t>
  </si>
  <si>
    <t>25/26</t>
  </si>
  <si>
    <t>20/21</t>
  </si>
  <si>
    <t>19/20</t>
  </si>
  <si>
    <t xml:space="preserve">INTEREST </t>
  </si>
  <si>
    <t xml:space="preserve">PRINCIPAL </t>
  </si>
  <si>
    <t xml:space="preserve">Interest </t>
  </si>
  <si>
    <r>
      <t xml:space="preserve">WSP Category:  </t>
    </r>
    <r>
      <rPr>
        <b/>
        <u/>
        <sz val="10"/>
        <rFont val="Arial"/>
        <family val="2"/>
      </rPr>
      <t xml:space="preserve"> </t>
    </r>
    <r>
      <rPr>
        <b/>
        <u/>
        <sz val="10"/>
        <rFont val="Times New Roman"/>
        <family val="1"/>
      </rPr>
      <t>II</t>
    </r>
  </si>
  <si>
    <t>II</t>
  </si>
  <si>
    <t>WSP Category: II</t>
  </si>
  <si>
    <t>WSP Category:  II</t>
  </si>
  <si>
    <t>Debt Amortization Plan for WSP</t>
  </si>
  <si>
    <t>Annex 5:</t>
  </si>
  <si>
    <t>Annex 3:</t>
  </si>
  <si>
    <t xml:space="preserve">Financial Statements (Audited Statements required for Category-II) for the WSP </t>
  </si>
  <si>
    <t>WorldBank Loan</t>
  </si>
  <si>
    <t>KfW Loan</t>
  </si>
  <si>
    <t>Water and Sewer</t>
  </si>
  <si>
    <t>Proposed Tariff</t>
  </si>
  <si>
    <t>Proposed tariff</t>
  </si>
  <si>
    <t>Year (2025/26)                  % of Total</t>
  </si>
  <si>
    <t>Sub-total 1</t>
  </si>
  <si>
    <t>Sub-total 2</t>
  </si>
  <si>
    <t>Sub-total 3</t>
  </si>
  <si>
    <t>Sub-total 4</t>
  </si>
  <si>
    <t>Sub-total 5</t>
  </si>
  <si>
    <t>External: MoWSI,CGK</t>
  </si>
  <si>
    <t>External:MoWSI,CGK</t>
  </si>
  <si>
    <t>Name of WSP:  KACWASCO</t>
  </si>
  <si>
    <t>Name of WSP: KACWASCO</t>
  </si>
  <si>
    <t>KACWASCO</t>
  </si>
  <si>
    <t>All Capital works to be accompanied by BOQs, the WSP to have specific budget for NRW reduction</t>
  </si>
  <si>
    <t>WSP to provide 2020/21 Management Accounts and align base year to it.</t>
  </si>
  <si>
    <t>Wsp to provide specific details of assets to be renewed</t>
  </si>
  <si>
    <t>WSP to improve asset maintenance schedule and align it to the sample template provided</t>
  </si>
  <si>
    <t>ASSET</t>
  </si>
  <si>
    <t>ACTION POINTS</t>
  </si>
  <si>
    <t>PERIOD OF IMPLEMENTATION</t>
  </si>
  <si>
    <t>ACTUAL EXPENDITURE</t>
  </si>
  <si>
    <t>BUDGET</t>
  </si>
  <si>
    <t>ASSET CLASS</t>
  </si>
  <si>
    <t>SPECIFIC ASSET</t>
  </si>
  <si>
    <t>CODE</t>
  </si>
  <si>
    <t>RESPONSIBLE</t>
  </si>
  <si>
    <t>ACTIVITY</t>
  </si>
  <si>
    <t>FREQUENCY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</si>
  <si>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</si>
  <si>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</si>
  <si>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</si>
  <si>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</si>
  <si>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</si>
  <si>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</si>
  <si>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</si>
  <si>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</si>
  <si>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</si>
  <si>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</si>
  <si>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</si>
  <si>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</si>
  <si>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2021/2022
( Kshs)</t>
  </si>
  <si>
    <t>2022/2023
( Kshs)</t>
  </si>
  <si>
    <t>2023/2024
( Kshs)</t>
  </si>
  <si>
    <t>2024/2025
( Kshs)</t>
  </si>
  <si>
    <t>Identify Category</t>
  </si>
  <si>
    <t xml:space="preserve">List all General Operation Areas </t>
  </si>
  <si>
    <t>List Specific Asset as a line entry - Include areas that might not be under planned mantenance but the utility would like to carry out regular scheduled maintenance</t>
  </si>
  <si>
    <t xml:space="preserve">Unique Identification </t>
  </si>
  <si>
    <t>Person/Dept/Function</t>
  </si>
  <si>
    <t>Specific Works to be Carried out</t>
  </si>
  <si>
    <t>Yearly/ Semi-Annually/ Quarterly/Monthly/ Weekly/Daily/ Any other</t>
  </si>
  <si>
    <t>Tick / Highlight on planned period of Maintenance X</t>
  </si>
  <si>
    <t>GENERAL MAINTENANCE</t>
  </si>
  <si>
    <t>TOTALS</t>
  </si>
  <si>
    <t>WATER</t>
  </si>
  <si>
    <t>SEWER</t>
  </si>
  <si>
    <t>Grand Total</t>
  </si>
  <si>
    <t>2020/21 
( Kshs)</t>
  </si>
  <si>
    <t>2025/2026
( Kshs)</t>
  </si>
  <si>
    <t>NON REVENUE WATER SELF-ASSESMENT</t>
  </si>
  <si>
    <t xml:space="preserve">                          Level</t>
  </si>
  <si>
    <t>Level Achieved</t>
  </si>
  <si>
    <t>Issues</t>
  </si>
  <si>
    <t>Basic</t>
  </si>
  <si>
    <t>High</t>
  </si>
  <si>
    <t>(1-5)</t>
  </si>
  <si>
    <t>Water Balance, Flow and Pressure Monitoring, Mapping</t>
  </si>
  <si>
    <t>Water Balance</t>
  </si>
  <si>
    <t>We have not established a water balance table</t>
  </si>
  <si>
    <t>We have tried to establish a water balance table but gave up since we don't know the split in physical and commercial losses</t>
  </si>
  <si>
    <t>We have established a water balance table following our own format</t>
  </si>
  <si>
    <t>We have established an annual water balance table in accordance with the international format</t>
  </si>
  <si>
    <t>System Input Metering</t>
  </si>
  <si>
    <t>Most of our system input is not metered</t>
  </si>
  <si>
    <t>Not all, but less than 50% of our system input is not metered</t>
  </si>
  <si>
    <t xml:space="preserve">Our system input is metered but we are not sure about the accuracy of the meter readings </t>
  </si>
  <si>
    <t>Our system input is metered with mechanical and/or magnetic flow meters that are rarely calibrated</t>
  </si>
  <si>
    <t>Our system input is metered with magnetic flow meters that are regularly calibrated</t>
  </si>
  <si>
    <t>Pressure Monitoring</t>
  </si>
  <si>
    <t>We do not have any pressure recorders installed</t>
  </si>
  <si>
    <t>We have a few pressure recorders installed at pumping stations and treatment plants</t>
  </si>
  <si>
    <t>We have a few pressure recorders installed at pumping stations and treatment plants and sporadically measure pressure in the distribution network with pressure gauges</t>
  </si>
  <si>
    <t>We have a few pressure recorders installed at pumping stations and treatment plants and sporadically measure pressure in the distribution network with pressure loggers</t>
  </si>
  <si>
    <t>We have permanently installed pressure loggers and continuously monitor pressure in the distribution network</t>
  </si>
  <si>
    <t>Maps/GIS</t>
  </si>
  <si>
    <t>We do not have maps at all</t>
  </si>
  <si>
    <t>We have maps, but they are not updated</t>
  </si>
  <si>
    <t>We have started to update our maps</t>
  </si>
  <si>
    <t>Our maps are updated but do not include GIS</t>
  </si>
  <si>
    <t>We use GIS based on updated maps</t>
  </si>
  <si>
    <t>Leak Repair Records</t>
  </si>
  <si>
    <t>We have no records of leak repairs</t>
  </si>
  <si>
    <t>The only way to know the number of leaks repaired is to look into the customer complaints book</t>
  </si>
  <si>
    <t>We keep basic leak repair records that only tell us weather the leak was on a main pipe or a service connection</t>
  </si>
  <si>
    <t>We keep detailed records that indicate location, pipe diameter, material and type of lead as well date of detection and date and duration of repair</t>
  </si>
  <si>
    <t>We keep detailed records that indicate location, pipe diameter, material and type of leak, date of detection, date and duration of repair and have linked this to our GIS</t>
  </si>
  <si>
    <t>Performance Indicators</t>
  </si>
  <si>
    <t>The only Performance Indicator used is % NRW</t>
  </si>
  <si>
    <t>We have tried to calculate water loss performance indicators</t>
  </si>
  <si>
    <t>We regularly calculate physical losses performance indicators</t>
  </si>
  <si>
    <t>We regularly calculate physical and commercial losses performance indicators</t>
  </si>
  <si>
    <t>We regularly calculate physical and commercial losses performance indicators and publish them in our annual report</t>
  </si>
  <si>
    <t>Active leakage control</t>
  </si>
  <si>
    <t>We only repair physical leaks</t>
  </si>
  <si>
    <t>We have leak detection equipment but we do not use it</t>
  </si>
  <si>
    <t>We carry out leak detection occasionally if there is a specific problem in an area</t>
  </si>
  <si>
    <t xml:space="preserve">We have started to do regular leak surveys </t>
  </si>
  <si>
    <t>We cover the network by leakage survey at least once a year</t>
  </si>
  <si>
    <t>District Meter Areas (DMAs)</t>
  </si>
  <si>
    <t>We have no DMAs and have no plans to establish DMAs</t>
  </si>
  <si>
    <t>We have started to establish the first DMAs</t>
  </si>
  <si>
    <t>The first DMAs are established and we have already obtained the first results</t>
  </si>
  <si>
    <t>We have several DMAs and sporadically check and analyse inflow data</t>
  </si>
  <si>
    <t>We have several DMAs and monitor flow and pressure on a regular basis</t>
  </si>
  <si>
    <t>Leak Repair - Distribution Pipes(Repair Time)</t>
    <phoneticPr fontId="6"/>
  </si>
  <si>
    <t>We have no records and therefore don't know how fast our leaks are repaired</t>
  </si>
  <si>
    <t>Our average repair time is more than 7 days per leak</t>
  </si>
  <si>
    <t>Our average repair time is between 7 and 3 days per leak</t>
  </si>
  <si>
    <t>Our average repair time is between 3 and 1.5 days per leak</t>
  </si>
  <si>
    <t>Our average repair time is less than 1.5 days per leak</t>
  </si>
  <si>
    <t>Leak Repair - House Connections</t>
  </si>
  <si>
    <t>Our average repair time is more than 14 days per leak</t>
  </si>
  <si>
    <t>Our average repair time is between 14 and 7 days per leak</t>
  </si>
  <si>
    <t>Our average repair time is between 7 and 2 days per leak</t>
  </si>
  <si>
    <t>Our average repair time is less than 2 days per leak</t>
  </si>
  <si>
    <t>Customer Metering</t>
  </si>
  <si>
    <t>We have no customer metering</t>
  </si>
  <si>
    <t>Only large customers are metered</t>
  </si>
  <si>
    <t>We have started with universal customer meters but at present not all customers are metered</t>
  </si>
  <si>
    <t>Nearly all our customers are metered, except public fountains, stand pipes and connections of similar nature</t>
  </si>
  <si>
    <t>100% of our customers are metered</t>
  </si>
  <si>
    <t>Customer Meter Replacement and Age</t>
  </si>
  <si>
    <t>We do not have reliable information on the age of our customer meters</t>
  </si>
  <si>
    <t>Many of our meters are older than 10 years, we have not yet introduced meter replacement policy</t>
  </si>
  <si>
    <t>We only change or replace meters if they stop functioning</t>
  </si>
  <si>
    <t>We have a meter replacement policy but have not been able to replace all meters so some of our customer meters are still older than 10 years</t>
  </si>
  <si>
    <t>We strictly follow our customer replacement policy and replace ALL meters which are 5 - 7 years old</t>
  </si>
  <si>
    <t>Customer Meter Class</t>
  </si>
  <si>
    <t>All customer meters are class B</t>
  </si>
  <si>
    <t xml:space="preserve">All customer meters are class B and C </t>
  </si>
  <si>
    <t>All customer meters are class C</t>
  </si>
  <si>
    <t xml:space="preserve">All customer meters are class C and D </t>
  </si>
  <si>
    <t>All customer meters are class D</t>
  </si>
  <si>
    <t>Customer Database</t>
  </si>
  <si>
    <t>Our customer database has not been updated for a long time</t>
  </si>
  <si>
    <t xml:space="preserve">We sporadically update our customer database </t>
  </si>
  <si>
    <t>We are in the process of updating our customer database</t>
  </si>
  <si>
    <t>We regularly update our customer database by conducting house to house surveys and inspections</t>
  </si>
  <si>
    <t>We have an updated customer data base that is linked to the GIS</t>
  </si>
  <si>
    <t>Customer Meter Reading</t>
  </si>
  <si>
    <t>We have no special system of controlling meter readers</t>
  </si>
  <si>
    <t>We only rotate meter readers if we are suspicious of inaccuracies</t>
  </si>
  <si>
    <t>We regularly rotate meter readers</t>
  </si>
  <si>
    <t>We regularly rotate meter readers and often make spot checks</t>
  </si>
  <si>
    <t>Our meter readers use handheld meter reading devices</t>
  </si>
  <si>
    <t>Illegal Connections, meter tampering, bypasses</t>
  </si>
  <si>
    <t>We have not made any assessment and have no program to deal with water theft</t>
  </si>
  <si>
    <t>We occasionally detect illegal connections</t>
  </si>
  <si>
    <t>We occasionally detect illegal connections and other forms of fraud</t>
  </si>
  <si>
    <t>We have a thorough illegal connection detection program</t>
  </si>
  <si>
    <t>We have a thorough illegal connection detection program and also identify bypasses</t>
  </si>
  <si>
    <t>NRW Standards - Five Key Issues/Areas</t>
  </si>
  <si>
    <t xml:space="preserve">Date: As of </t>
  </si>
  <si>
    <t>NRW REDUCTION PLAN BY WSP &amp; IMPLEMENTATION STATUS</t>
  </si>
  <si>
    <t>Current Status</t>
  </si>
  <si>
    <t>Desired Status / Target</t>
  </si>
  <si>
    <t>Short Term Measure</t>
  </si>
  <si>
    <t>Resources Required (Ksh)</t>
  </si>
  <si>
    <t>Responsibility</t>
  </si>
  <si>
    <t>CAPEX</t>
  </si>
  <si>
    <t>OPEX</t>
  </si>
  <si>
    <t>Leak Repair - Distribution Pipes(Repair Time)</t>
  </si>
  <si>
    <t xml:space="preserve">Illegal Connections, meter tampering, bypasses </t>
  </si>
  <si>
    <t>NRW Reduction Activities</t>
  </si>
  <si>
    <t>60% Metered</t>
  </si>
  <si>
    <t>100% Metering</t>
  </si>
  <si>
    <t>TM &amp; CFM</t>
  </si>
  <si>
    <t>TM &amp;CFM</t>
  </si>
  <si>
    <t>Purchase &amp; install 250No. Presure data loggers</t>
  </si>
  <si>
    <t>TM &amp; HRM</t>
  </si>
  <si>
    <t xml:space="preserve">Establish &amp; Equip a GIS unit </t>
  </si>
  <si>
    <t>Train NRW &amp; O/M Staff on GIS</t>
  </si>
  <si>
    <t>Digital mapping of all the customers &amp; Pipeline network.</t>
  </si>
  <si>
    <t>Train O/M Staff on 100% use of ERP system for reporting.</t>
  </si>
  <si>
    <t xml:space="preserve">Ensure proper filling and Records keeping </t>
  </si>
  <si>
    <t>TM</t>
  </si>
  <si>
    <t>TM,NRWM &amp; CFM</t>
  </si>
  <si>
    <t xml:space="preserve">Purchase NRW Equipments- 10No. Leak Detectors </t>
  </si>
  <si>
    <t>Train NRW &amp; O/M staff on use of NRW Equipments</t>
  </si>
  <si>
    <t>TM&amp;HRM</t>
  </si>
  <si>
    <t>TM &amp; NRWM</t>
  </si>
  <si>
    <t>TM, NRWM &amp; CFM</t>
  </si>
  <si>
    <t>CMT</t>
  </si>
  <si>
    <t>Purchase HDPE small diameter Pipes &amp; fittings for new connections</t>
  </si>
  <si>
    <t>Develop House connection policy-sell pipes &amp; fittings to customers to control quality</t>
  </si>
  <si>
    <t>Establish zones and assign to specific Artisans with targets</t>
  </si>
  <si>
    <t>Train staff on leak repairs</t>
  </si>
  <si>
    <t>Train staff on100% adoption of ERP System.</t>
  </si>
  <si>
    <t>Replace all aged cunsumer meters by use of special team of interns or contract-1000No.</t>
  </si>
  <si>
    <t>TM  &amp;NRWM</t>
  </si>
  <si>
    <t>HRM &amp; CSM</t>
  </si>
  <si>
    <t xml:space="preserve">PLO </t>
  </si>
  <si>
    <t>Train/ sensitize staff on illegal connections, meter tempering and bypasses.</t>
  </si>
  <si>
    <t>PLO,HRM &amp; TM</t>
  </si>
  <si>
    <t>Initiate RRI Program for O&amp;M in all schemes- Door to door inspection</t>
  </si>
  <si>
    <t>Sensitization to customers on illegal connections</t>
  </si>
  <si>
    <t>PLO, CSM &amp; NRWM</t>
  </si>
  <si>
    <t>Initiate Meter protection programs like meter sealing.</t>
  </si>
  <si>
    <t>Develop a legal frame work/ by laws in partnership with CGKK and arrest the offenders.</t>
  </si>
  <si>
    <t>Review the KPIs and set new targets</t>
  </si>
  <si>
    <t>Develop and impliment Performance management systems</t>
  </si>
  <si>
    <t xml:space="preserve">Establish and empower M&amp;E unit to monitor KIPs </t>
  </si>
  <si>
    <t>Procure bulk smart meters for Tindinyo T/Works-2No.</t>
  </si>
  <si>
    <t>Carry out customer survey program</t>
  </si>
  <si>
    <t>CSM &amp; CFM</t>
  </si>
  <si>
    <t>Impliment customer survey recommendations.</t>
  </si>
  <si>
    <t>Train staff on customer data management.</t>
  </si>
  <si>
    <t>CSM &amp; HRM</t>
  </si>
  <si>
    <t xml:space="preserve">Clean up of all annomalies in the system </t>
  </si>
  <si>
    <t>CSM &amp; ICT</t>
  </si>
  <si>
    <t>TM, HRM &amp; NRWM</t>
  </si>
  <si>
    <t>Train meter readers on effective meter reading.</t>
  </si>
  <si>
    <t>CFM &amp; HRM</t>
  </si>
  <si>
    <t>Develop and impliment meter management policy.</t>
  </si>
  <si>
    <t>Develop standand specifications for O/M materials and fittings to control quality.</t>
  </si>
  <si>
    <t>TM &amp;PM</t>
  </si>
  <si>
    <t>Establish an active Telecom. Centre to receive all compaints and direct them timely.</t>
  </si>
  <si>
    <t>Establish pipeline hydraulic modelling.</t>
  </si>
  <si>
    <t xml:space="preserve">Continous mapping of pipeline &amp; appartunances </t>
  </si>
  <si>
    <t>Clasify all meters based on class and customer category</t>
  </si>
  <si>
    <t>TM &amp; CSM</t>
  </si>
  <si>
    <t xml:space="preserve">Purchase and install PRVs &amp; Air Valves </t>
  </si>
  <si>
    <t>Up scale DMAs in Kakamega</t>
  </si>
  <si>
    <t>Up scale DMAs to Mumias</t>
  </si>
  <si>
    <t>Upscale DMA to Shinyalu</t>
  </si>
  <si>
    <t>Procure bulk smart meters for Nambacha T/Works- 2No</t>
  </si>
  <si>
    <t>Procure bulk smart meters for Kipkaren T/Works - 4No.</t>
  </si>
  <si>
    <t>Procure  Zonal meters (20No) -10 schemes</t>
  </si>
  <si>
    <t>Procure Zonal meters (50No) -10 schemes</t>
  </si>
  <si>
    <t>Purchase and install 3,000no.consumer meters</t>
  </si>
  <si>
    <t>Purchase and install 4,000No.for new connections.</t>
  </si>
  <si>
    <t>Purchase and install 5,000No. Consumer meters</t>
  </si>
  <si>
    <t>Purchase and install 5,000No consumer meters</t>
  </si>
  <si>
    <t>Purchase and install 250No. Pressure loggers</t>
  </si>
  <si>
    <t>Train staff on pressure management</t>
  </si>
  <si>
    <t>Purchase of 1No. Pick up and 10No. Motor bikes for O&amp;M teams.</t>
  </si>
  <si>
    <t>Purchase of 2No. double cab and 10 motor bikes for O&amp;M.</t>
  </si>
  <si>
    <t>Purchase of 1No pick up, 2No double cabs for O&amp;M and 5No motor bikes for line patrolling</t>
  </si>
  <si>
    <t>Customer Metering accuracy</t>
  </si>
  <si>
    <t>Purchase, installation, staff training and operationalization of 1No. Meter testing bench</t>
  </si>
  <si>
    <t xml:space="preserve">Purchase of 5No. Portable meter testing kids and training of staff </t>
  </si>
  <si>
    <t xml:space="preserve"> Name of  WSP: KACWASCO</t>
  </si>
  <si>
    <t>MONTHLY/YEARLY</t>
  </si>
  <si>
    <t>X</t>
  </si>
  <si>
    <t>KAKAMEGA COUNTY WATER AND SANITATION COMPANY ASSET MAINTENANCE SCHEDULE</t>
  </si>
  <si>
    <t>Risk Allowance</t>
  </si>
  <si>
    <t>Entertainment Allowance</t>
  </si>
  <si>
    <t>Arrears</t>
  </si>
  <si>
    <t>Pension (Employer Contribution)</t>
  </si>
  <si>
    <t xml:space="preserve"> Administration fees</t>
  </si>
  <si>
    <t>Medical</t>
  </si>
  <si>
    <t>WHT Tax</t>
  </si>
  <si>
    <t>Land Subdivion</t>
  </si>
  <si>
    <t>ICT expenses</t>
  </si>
  <si>
    <t>Office furniture</t>
  </si>
  <si>
    <t>Deposit refund</t>
  </si>
  <si>
    <t>Air Ticket</t>
  </si>
  <si>
    <t>Refunds/claim</t>
  </si>
  <si>
    <t>WSP Category   II</t>
  </si>
  <si>
    <r>
      <t>m</t>
    </r>
    <r>
      <rPr>
        <vertAlign val="superscript"/>
        <sz val="9"/>
        <rFont val="Calibri"/>
        <family val="2"/>
        <scheme val="minor"/>
      </rPr>
      <t>3</t>
    </r>
  </si>
  <si>
    <r>
      <t>Average Costs per m</t>
    </r>
    <r>
      <rPr>
        <b/>
        <vertAlign val="superscript"/>
        <sz val="9"/>
        <rFont val="Calibri"/>
        <family val="2"/>
        <scheme val="minor"/>
      </rPr>
      <t>3</t>
    </r>
  </si>
  <si>
    <r>
      <t>(in 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)</t>
    </r>
  </si>
  <si>
    <r>
      <t>(a</t>
    </r>
    <r>
      <rPr>
        <i/>
        <sz val="10"/>
        <rFont val="Calibri"/>
        <family val="2"/>
        <scheme val="minor"/>
      </rPr>
      <t>x</t>
    </r>
    <r>
      <rPr>
        <b/>
        <sz val="10"/>
        <rFont val="Calibri"/>
        <family val="2"/>
        <scheme val="minor"/>
      </rPr>
      <t>d</t>
    </r>
    <r>
      <rPr>
        <i/>
        <sz val="10"/>
        <rFont val="Calibri"/>
        <family val="2"/>
        <scheme val="minor"/>
      </rPr>
      <t>+</t>
    </r>
    <r>
      <rPr>
        <b/>
        <sz val="10"/>
        <rFont val="Calibri"/>
        <family val="2"/>
        <scheme val="minor"/>
      </rPr>
      <t>b</t>
    </r>
    <r>
      <rPr>
        <i/>
        <sz val="10"/>
        <rFont val="Calibri"/>
        <family val="2"/>
        <scheme val="minor"/>
      </rPr>
      <t>x</t>
    </r>
    <r>
      <rPr>
        <b/>
        <sz val="10"/>
        <rFont val="Calibri"/>
        <family val="2"/>
        <scheme val="minor"/>
      </rPr>
      <t>12c)</t>
    </r>
  </si>
  <si>
    <r>
      <t>(a</t>
    </r>
    <r>
      <rPr>
        <i/>
        <sz val="10"/>
        <rFont val="Calibri"/>
        <family val="2"/>
        <scheme val="minor"/>
      </rPr>
      <t>x</t>
    </r>
    <r>
      <rPr>
        <b/>
        <sz val="10"/>
        <rFont val="Calibri"/>
        <family val="2"/>
        <scheme val="minor"/>
      </rPr>
      <t>f)</t>
    </r>
  </si>
  <si>
    <r>
      <rPr>
        <b/>
        <sz val="10"/>
        <rFont val="Calibri"/>
        <family val="2"/>
        <scheme val="minor"/>
      </rPr>
      <t>*-</t>
    </r>
    <r>
      <rPr>
        <sz val="10"/>
        <rFont val="Calibri"/>
        <family val="2"/>
        <scheme val="minor"/>
      </rPr>
      <t xml:space="preserve"> The current Tariff is </t>
    </r>
  </si>
  <si>
    <r>
      <rPr>
        <b/>
        <sz val="10"/>
        <rFont val="Calibri"/>
        <family val="2"/>
        <scheme val="minor"/>
      </rPr>
      <t xml:space="preserve">*- </t>
    </r>
    <r>
      <rPr>
        <sz val="10"/>
        <rFont val="Calibri"/>
        <family val="2"/>
        <scheme val="minor"/>
      </rPr>
      <t>Projected Billing divided by the Water sales =</t>
    </r>
  </si>
  <si>
    <r>
      <t>Leak Repair Records</t>
    </r>
    <r>
      <rPr>
        <sz val="12"/>
        <rFont val="Calibri"/>
        <family val="2"/>
        <scheme val="minor"/>
      </rPr>
      <t> </t>
    </r>
  </si>
  <si>
    <r>
      <t>Leak Repair Records</t>
    </r>
    <r>
      <rPr>
        <sz val="12"/>
        <color indexed="8"/>
        <rFont val="Calibri"/>
        <family val="2"/>
        <scheme val="minor"/>
      </rPr>
      <t> </t>
    </r>
  </si>
  <si>
    <t>Maintenance and Repairs</t>
  </si>
  <si>
    <t xml:space="preserve">Year (2020/21)    (Base year)                          </t>
  </si>
  <si>
    <t xml:space="preserve">Year (2019/20)         </t>
  </si>
  <si>
    <t>Maintenance and repairs</t>
  </si>
  <si>
    <t>Total Maintenance and Repairs</t>
  </si>
  <si>
    <t>Airtime Allowance</t>
  </si>
  <si>
    <t>Non-practising allowance</t>
  </si>
  <si>
    <t>Printing, Stationery, Newspapers</t>
  </si>
  <si>
    <t>Year (2018/19)</t>
  </si>
  <si>
    <t xml:space="preserve">Year (2020/21)    (Base Year)                        </t>
  </si>
  <si>
    <t xml:space="preserve">Year (2018/19)     </t>
  </si>
  <si>
    <t xml:space="preserve">Year (2020/21)    (Base Year)                           </t>
  </si>
  <si>
    <t>h)</t>
  </si>
  <si>
    <t xml:space="preserve">Year (2021/22)    (Forecast)           (Y1)                            </t>
  </si>
  <si>
    <t xml:space="preserve">Year (2022/23)        (Forecast)           (Y2)                            </t>
  </si>
  <si>
    <t xml:space="preserve">Year (2023/24)        (Forecast)           (Y3)                            </t>
  </si>
  <si>
    <t xml:space="preserve">Year (2024/25)        (Forecast)           (Y4)                            </t>
  </si>
  <si>
    <t xml:space="preserve">Year (2025/26)        (Forecast)           (Y5)                            </t>
  </si>
  <si>
    <t>Total O&amp;M Expenditures = (a+b+c+d+e+f+g)</t>
  </si>
  <si>
    <r>
      <t>1-6m</t>
    </r>
    <r>
      <rPr>
        <vertAlign val="superscript"/>
        <sz val="11"/>
        <rFont val="Calibri"/>
        <family val="2"/>
        <scheme val="minor"/>
      </rPr>
      <t xml:space="preserve">3 </t>
    </r>
  </si>
  <si>
    <t xml:space="preserve">1-50m3 </t>
  </si>
  <si>
    <r>
      <t>1-600m</t>
    </r>
    <r>
      <rPr>
        <vertAlign val="superscript"/>
        <sz val="11"/>
        <rFont val="Calibri"/>
        <family val="2"/>
        <scheme val="minor"/>
      </rPr>
      <t xml:space="preserve">3 </t>
    </r>
  </si>
  <si>
    <t>Plant Property and Equipment Schedule</t>
  </si>
  <si>
    <t>Freehold land</t>
  </si>
  <si>
    <t>Buildings and Civil Works</t>
  </si>
  <si>
    <t>Plant and Machinery</t>
  </si>
  <si>
    <t>Motor Vehicles including motorcycles</t>
  </si>
  <si>
    <t>Office equipment, furniture and fittings</t>
  </si>
  <si>
    <t>Cost as at 01/07/2018</t>
  </si>
  <si>
    <t>Additions</t>
  </si>
  <si>
    <t>Disposal</t>
  </si>
  <si>
    <t>Impairement</t>
  </si>
  <si>
    <t>As at 30/06/2019</t>
  </si>
  <si>
    <t>Depreciation</t>
  </si>
  <si>
    <t>At start of year (1st July, 2019</t>
  </si>
  <si>
    <t>Charge for the year</t>
  </si>
  <si>
    <t xml:space="preserve">Total depreciation at end of year </t>
  </si>
  <si>
    <t>NBV as at 30/06/2019</t>
  </si>
  <si>
    <t>Cost as at 01/07/2019</t>
  </si>
  <si>
    <t>Impairment</t>
  </si>
  <si>
    <t>As at 30/06/2020</t>
  </si>
  <si>
    <t xml:space="preserve">Disposal </t>
  </si>
  <si>
    <t>NBV as at 30/06/2020</t>
  </si>
  <si>
    <t>TOTAL</t>
  </si>
  <si>
    <t>Cost as at 01/07/2017</t>
  </si>
  <si>
    <t xml:space="preserve">Additions </t>
  </si>
  <si>
    <t>As at June 2018</t>
  </si>
  <si>
    <t>Depreciation as at 1st July, 2017</t>
  </si>
  <si>
    <t>Water Meters</t>
  </si>
  <si>
    <t>Water Supply Infrastructure</t>
  </si>
  <si>
    <t xml:space="preserve">Accumulated depreciation </t>
  </si>
  <si>
    <t>NBV at at 30/06/2018</t>
  </si>
  <si>
    <t>1-6</t>
  </si>
  <si>
    <t>1-50</t>
  </si>
  <si>
    <t>1-600</t>
  </si>
  <si>
    <t>Justified O&amp;M Costs</t>
  </si>
  <si>
    <t>Breakdown of Conditional Grant from County Government</t>
  </si>
  <si>
    <t>NHIF-Medical contribution June 2020</t>
  </si>
  <si>
    <t>NSSF-Deductions-Feb to June</t>
  </si>
  <si>
    <t>IG sacco-Salary June 2020</t>
  </si>
  <si>
    <t>Ukulima Fosa-Salary June 2020</t>
  </si>
  <si>
    <t>KACWASCO Welfare-Deductions April-June 2020</t>
  </si>
  <si>
    <t>Ukulima Sacco-Deductions Jan-June 2020</t>
  </si>
  <si>
    <t xml:space="preserve"> KCB Bank-Salary June 2020</t>
  </si>
  <si>
    <t xml:space="preserve">Wevarsity Sacco-Salary June 2020 </t>
  </si>
  <si>
    <t>Total maintenance and repairs</t>
  </si>
  <si>
    <t xml:space="preserve">Year 2019/20  </t>
  </si>
  <si>
    <t xml:space="preserve">Year 2020/21 (Base) </t>
  </si>
  <si>
    <t>Year 2021/22 (Forecast) (Y1)</t>
  </si>
  <si>
    <t>Year 2022/23 Forecast) (Y2)</t>
  </si>
  <si>
    <t>Year 2023/24 Forecast) (Y3)</t>
  </si>
  <si>
    <t>Total O&amp;M Expenditures = (a+b+c+d+e+f)</t>
  </si>
  <si>
    <t>Amount in KES (Millions)</t>
  </si>
  <si>
    <t>Cost as at 01/07/2020</t>
  </si>
  <si>
    <t>As on 30/06/2021</t>
  </si>
  <si>
    <t>At start of year (1st July 2020)</t>
  </si>
  <si>
    <t>Total depreciation at end of year</t>
  </si>
  <si>
    <t>Net Book Value as on 30/06/2021</t>
  </si>
  <si>
    <t>Year 2025/26 Forecast)     (Y5)</t>
  </si>
  <si>
    <t>Year 2024/25 Forecast)     (Y4)</t>
  </si>
  <si>
    <t>Bulk smart metering (Production and zonal)</t>
  </si>
  <si>
    <t>Purchase and installation of 250 No. pressure data loggers</t>
  </si>
  <si>
    <t>Cost as at 01/07/2021</t>
  </si>
  <si>
    <t>CONSUMPTION PER CONSUMER CATEGORY FY 2020-21</t>
  </si>
  <si>
    <t xml:space="preserve">Domestic </t>
  </si>
  <si>
    <t>Kiosks</t>
  </si>
  <si>
    <t>Government</t>
  </si>
  <si>
    <t>Parastatals</t>
  </si>
  <si>
    <t>Cons (m³)</t>
  </si>
  <si>
    <t>Consumption</t>
  </si>
  <si>
    <t>001-05</t>
  </si>
  <si>
    <t>006-10</t>
  </si>
  <si>
    <t>011-15</t>
  </si>
  <si>
    <t>016-20</t>
  </si>
  <si>
    <t>021-25</t>
  </si>
  <si>
    <t>026-30</t>
  </si>
  <si>
    <t>031-35</t>
  </si>
  <si>
    <t>036-40</t>
  </si>
  <si>
    <t>041-45</t>
  </si>
  <si>
    <t>046-50</t>
  </si>
  <si>
    <t>051-100</t>
  </si>
  <si>
    <t>101-200</t>
  </si>
  <si>
    <t>201-300</t>
  </si>
  <si>
    <t>More &gt; 300</t>
  </si>
  <si>
    <t>Govt/parastals</t>
  </si>
  <si>
    <t>DOMESTIC</t>
  </si>
  <si>
    <t>(Kakamega, Shinyalu, Muranda &amp; Tindinyo)</t>
  </si>
  <si>
    <t>June 2021</t>
  </si>
  <si>
    <t>May 2021</t>
  </si>
  <si>
    <t>Apr 2021</t>
  </si>
  <si>
    <t>Mar 2021</t>
  </si>
  <si>
    <t>Feb 2021</t>
  </si>
  <si>
    <t>Jan 2021</t>
  </si>
  <si>
    <t>Dec 2020</t>
  </si>
  <si>
    <t>Nov 2020</t>
  </si>
  <si>
    <t>Oct 2020</t>
  </si>
  <si>
    <t>Sept 2020</t>
  </si>
  <si>
    <t>Aug 2020</t>
  </si>
  <si>
    <t>July 2020</t>
  </si>
  <si>
    <t>(Mumias, Butere)</t>
  </si>
  <si>
    <t>(Malava, Lum, Kipk)</t>
  </si>
  <si>
    <t>(Shitoli)</t>
  </si>
  <si>
    <t>COMMERCIAL</t>
  </si>
  <si>
    <t>(Malava, Lumakanda Kipkaren)</t>
  </si>
  <si>
    <t>INDUSTRIAL</t>
  </si>
  <si>
    <t>(Malava)</t>
  </si>
  <si>
    <t>GOVERNMENT</t>
  </si>
  <si>
    <t>PARASTATALS</t>
  </si>
  <si>
    <t>SCHOOLS</t>
  </si>
  <si>
    <t>KIOSKS</t>
  </si>
  <si>
    <t>Consumption Analysis Summary Report 2020/21</t>
  </si>
  <si>
    <t>Summary consumption pattern</t>
  </si>
  <si>
    <t>To what end, yet the production level is anticipated to be stagnant throughout?</t>
  </si>
  <si>
    <t>How is this an expense?</t>
  </si>
  <si>
    <t>Are theses bank charges or debt repayments?</t>
  </si>
  <si>
    <t>What is this? When we already have medical allowance?</t>
  </si>
  <si>
    <t>Provide more details on this</t>
  </si>
  <si>
    <t>To be reclassified</t>
  </si>
  <si>
    <t>To be link to Repair and maintenace schedule</t>
  </si>
  <si>
    <t>Details of lender needed/ loan agreements needed</t>
  </si>
  <si>
    <t>Details of Principal amounts</t>
  </si>
  <si>
    <t>Proposed repayment rate</t>
  </si>
  <si>
    <t>Repayment rate demanded by creditor (s)</t>
  </si>
  <si>
    <t>Principal</t>
  </si>
  <si>
    <t>Interest</t>
  </si>
  <si>
    <t>Proposed Repayment Rate by WSP</t>
  </si>
  <si>
    <t>Outstanding Debt</t>
  </si>
  <si>
    <t>Provide Note/Details of what makes up COS.</t>
  </si>
  <si>
    <t>To be apportioned in 3a Water and 3a Sewer Appropriately</t>
  </si>
  <si>
    <t>Total Quantity of Sewer Billed</t>
  </si>
  <si>
    <t>Let sewer have its own Volumetric Charge</t>
  </si>
  <si>
    <t>75% of Qty Billed for Water, Sewer to have it's own tariff not pegged on Water Tariff</t>
  </si>
  <si>
    <t>What proportion of Consummers with Water Connection are connected to Sewer?</t>
  </si>
  <si>
    <t>To be guided by average cost in annex 6, only 1-6 band (domestic) should be subsidised.</t>
  </si>
  <si>
    <t>Volumetric Charge to be uniform in  the entire tariff period, indexation will take care of inflations</t>
  </si>
  <si>
    <t>To be dissallowed</t>
  </si>
  <si>
    <t>Ledger account to be provided</t>
  </si>
  <si>
    <t>ITEM</t>
  </si>
  <si>
    <t>Details</t>
  </si>
  <si>
    <t>Qty</t>
  </si>
  <si>
    <t>Unit Cost</t>
  </si>
  <si>
    <t>Double Cab</t>
  </si>
  <si>
    <t>Motor Vehicles</t>
  </si>
  <si>
    <t>Reduce operational costs/ Solarization</t>
  </si>
  <si>
    <r>
      <t>PRODUCTION 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, BILLING 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, BILLING AND COLLECTION FOR F/Y 2019/2020&amp; FY 2020/2021</t>
    </r>
  </si>
  <si>
    <t>F/Y 2019/2020</t>
  </si>
  <si>
    <t>F/Y 2020/2021</t>
  </si>
  <si>
    <r>
      <t>Production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</si>
  <si>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Billing (Ksh)</t>
  </si>
  <si>
    <r>
      <t>Billing (M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)</t>
    </r>
  </si>
  <si>
    <t>Collection (Ksh)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</si>
  <si>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</si>
  <si>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</si>
  <si>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</si>
  <si>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</si>
  <si>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</si>
  <si>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</si>
  <si>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</si>
  <si>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</si>
  <si>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</si>
  <si>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</si>
  <si>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</si>
  <si>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Prepared  By …................................. Signature …................................ Date ….....................................</t>
  </si>
  <si>
    <t>Checked By   …................................. Signature …................................ Date ….....................................</t>
  </si>
  <si>
    <t>Approved By …................................. Signature …................................ Date ….....................................</t>
  </si>
  <si>
    <t>price</t>
  </si>
  <si>
    <t>Case 1</t>
  </si>
  <si>
    <t>case 2</t>
  </si>
  <si>
    <t>Sewer</t>
  </si>
  <si>
    <t>Software maintenance</t>
  </si>
  <si>
    <t>Motor Vehicles Repairs</t>
  </si>
  <si>
    <t>Infrastructure Maintenance</t>
  </si>
  <si>
    <t>Desilting of Tindinyo, Nambacha and Kipkaren intake works</t>
  </si>
  <si>
    <t>Desudging of Tindinyo, Nambacha and Kipkaren floccuation and sedimentation basins</t>
  </si>
  <si>
    <t>Desludging of Tindinyo lagoons</t>
  </si>
  <si>
    <t>Desludging of tindinyo and Nambacha slugde drying beds</t>
  </si>
  <si>
    <t>Cleaning / desilting of Tindinyo, Nambacha and Kipkaren clear water tanks</t>
  </si>
  <si>
    <t>Cleaning / desilting of Milimani, Ekero and Lumakanda storage reservoirs</t>
  </si>
  <si>
    <t>Repiar of Milimani, Shitoli, Tindinyo and Butere yard elevated pressed steel tanks</t>
  </si>
  <si>
    <t>Routine maintenance of transmission mains appurtanances (Tindinyo, Nambacha, Kipkaren and Navakholo systems.</t>
  </si>
  <si>
    <t>Renovation of Malava scheme office</t>
  </si>
  <si>
    <t>Renovation of Shitoli entrance</t>
  </si>
  <si>
    <t>Renovation of head office  building and branding</t>
  </si>
  <si>
    <t>Rehabiliation of Tindinyo and Nambach dosing units</t>
  </si>
  <si>
    <t>Cleaning of Shirere, MMUST and Nabongo sewer ponds</t>
  </si>
  <si>
    <t>Rehabilitation and upgrade of Shikhambi - Metameta 2" upvc to 4" HDPE 2.5km pipeline</t>
  </si>
  <si>
    <t>Rehabilitation of Musingu Primary 2" upvc 2.2km pipeline</t>
  </si>
  <si>
    <t>Rehabilitation of Mugomary 4" upvc 1.15km pipeline</t>
  </si>
  <si>
    <t>Rehabilitation of Mayoni 800mm upvc 1.85km pipeline</t>
  </si>
  <si>
    <t>Maintenance of Malava, Kipkaren and Navakholo pump control panels</t>
  </si>
  <si>
    <t>Routine maintenance of Tindinyo, Nambacha, Malava and Kipkaren pump units.</t>
  </si>
  <si>
    <t>Rehabilitation of Amalemba 110mm sewer line 1.43km</t>
  </si>
  <si>
    <t>Rehabilitation of Ambwere complex - Dharau 150mm 0.6km sewer line</t>
  </si>
  <si>
    <t>Fishing, flushing and pump testing of buheri borehole</t>
  </si>
  <si>
    <t>Replacement of butere yard pump</t>
  </si>
  <si>
    <t>Anchoring of Bishop stam 150mm HDPE 4.5km pipelines</t>
  </si>
  <si>
    <t xml:space="preserve"> Infrastructure Maintenance</t>
  </si>
  <si>
    <t>Finance cost</t>
  </si>
  <si>
    <t>Year 2021 Analysis of:</t>
  </si>
  <si>
    <t>Number of Customer per month, and % total customers in that category</t>
  </si>
  <si>
    <t>CONTROL SHEETS:</t>
  </si>
  <si>
    <t xml:space="preserve">% </t>
  </si>
  <si>
    <t>May</t>
  </si>
  <si>
    <t>June</t>
  </si>
  <si>
    <t>July</t>
  </si>
  <si>
    <t>Block</t>
  </si>
  <si>
    <t>AVRG</t>
  </si>
  <si>
    <t>KK</t>
  </si>
  <si>
    <t>Mumias</t>
  </si>
  <si>
    <t>Shitoli</t>
  </si>
  <si>
    <t>Malava</t>
  </si>
  <si>
    <t>Navakholo</t>
  </si>
  <si>
    <t>0-6m3</t>
  </si>
  <si>
    <t>6-20m3</t>
  </si>
  <si>
    <t>21-50m3</t>
  </si>
  <si>
    <t>51-100m3</t>
  </si>
  <si>
    <t>101-300m3</t>
  </si>
  <si>
    <t>&gt; 300m3</t>
  </si>
  <si>
    <t>Govt. Institutions</t>
  </si>
  <si>
    <t>Schools/Colleges</t>
  </si>
  <si>
    <t>0-600m3</t>
  </si>
  <si>
    <t>601-1200m3</t>
  </si>
  <si>
    <t>Jistification Needed</t>
  </si>
  <si>
    <t>Refer to  travelling and sunsistance</t>
  </si>
  <si>
    <t>Totals or Sums (Water and Meter Rent)</t>
  </si>
  <si>
    <t>Difference</t>
  </si>
  <si>
    <t>WSP to repay 75% of the earlier proposal</t>
  </si>
  <si>
    <t>Approved Repayment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</si>
</sst>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#,##0;[Red]#,##0"/>
    <numFmt numFmtId="167" formatCode="0.0%"/>
    <numFmt numFmtId="168" formatCode="0.0"/>
    <numFmt numFmtId="169" formatCode="0;[Red]0"/>
    <numFmt numFmtId="170" formatCode="_-* #,##0_-;\-* #,##0_-;_-* &quot;-&quot;??_-;_-@_-"/>
    <numFmt numFmtId="171" formatCode="_-* #,##0.0_-;\-* #,##0.0_-;_-* &quot;-&quot;??_-;_-@_-"/>
    <numFmt numFmtId="172" formatCode="_-* #,##0.0_-;\-* #,##0.0_-;_-* &quot;-&quot;?_-;_-@_-"/>
    <numFmt numFmtId="173" formatCode="_(* #,##0.0_);_(* \(#,##0.0\);_(* &quot;-&quot;??_);_(@_)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34"/>
    </font>
    <font>
      <b/>
      <sz val="10"/>
      <name val="Arial"/>
      <family val="2"/>
      <charset val="134"/>
    </font>
    <font>
      <sz val="9"/>
      <name val="Arial"/>
      <family val="2"/>
      <charset val="134"/>
    </font>
    <font>
      <b/>
      <i/>
      <sz val="10"/>
      <name val="Arial"/>
      <family val="2"/>
      <charset val="134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i/>
      <sz val="11"/>
      <color theme="1"/>
      <name val="Calibri"/>
      <family val="2"/>
      <scheme val="minor"/>
    </font>
    <font>
      <i/>
      <sz val="8"/>
      <name val="Arial"/>
      <family val="2"/>
    </font>
    <font>
      <b/>
      <sz val="8"/>
      <name val="Arial"/>
      <family val="2"/>
    </font>
    <font>
      <vertAlign val="subscript"/>
      <sz val="9"/>
      <name val="Arial"/>
      <family val="2"/>
    </font>
    <font>
      <sz val="9"/>
      <color theme="1"/>
      <name val="Arial"/>
      <family val="2"/>
    </font>
    <font>
      <i/>
      <u/>
      <sz val="9"/>
      <name val="Arial"/>
      <family val="2"/>
    </font>
    <font>
      <b/>
      <sz val="11"/>
      <name val="Arial"/>
      <family val="2"/>
    </font>
    <font>
      <b/>
      <sz val="10"/>
      <name val="Times New Roman"/>
      <family val="1"/>
      <charset val="134"/>
    </font>
    <font>
      <sz val="11"/>
      <name val="Arial"/>
      <family val="2"/>
    </font>
    <font>
      <i/>
      <sz val="8"/>
      <name val="Arial"/>
      <family val="2"/>
      <charset val="134"/>
    </font>
    <font>
      <sz val="10"/>
      <name val="Tahoma"/>
      <family val="2"/>
      <charset val="134"/>
    </font>
    <font>
      <sz val="10"/>
      <name val="Calibri"/>
      <family val="2"/>
      <charset val="134"/>
    </font>
    <font>
      <b/>
      <sz val="12"/>
      <name val="Arial"/>
      <family val="2"/>
      <charset val="134"/>
    </font>
    <font>
      <b/>
      <sz val="10"/>
      <name val="Tahoma"/>
      <family val="2"/>
      <charset val="134"/>
    </font>
    <font>
      <sz val="12"/>
      <name val="Arial"/>
      <family val="2"/>
      <charset val="13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3.5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128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1"/>
      <color indexed="14"/>
      <name val="Calibri"/>
      <family val="2"/>
      <scheme val="minor"/>
    </font>
    <font>
      <sz val="9"/>
      <color indexed="14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.5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0"/>
      <name val="Arial"/>
      <family val="2"/>
    </font>
    <font>
      <b/>
      <sz val="14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0" fontId="43" fillId="0" borderId="0">
      <alignment vertical="center"/>
    </xf>
    <xf numFmtId="0" fontId="7" fillId="0" borderId="0">
      <alignment vertical="center"/>
    </xf>
    <xf numFmtId="164" fontId="1" fillId="0" borderId="0" applyFont="0" applyFill="0" applyBorder="0" applyAlignment="0" applyProtection="0"/>
  </cellStyleXfs>
  <cellXfs count="2082">
    <xf numFmtId="0" fontId="0" fillId="0" borderId="0" xfId="0"/>
    <xf numFmtId="0" fontId="8" fillId="0" borderId="5" xfId="5" applyFont="1" applyBorder="1"/>
    <xf numFmtId="0" fontId="8" fillId="0" borderId="6" xfId="5" applyFont="1" applyBorder="1"/>
    <xf numFmtId="0" fontId="7" fillId="0" borderId="6" xfId="5" applyBorder="1"/>
    <xf numFmtId="0" fontId="7" fillId="0" borderId="5" xfId="5" applyBorder="1"/>
    <xf numFmtId="0" fontId="8" fillId="0" borderId="8" xfId="5" applyFont="1" applyBorder="1"/>
    <xf numFmtId="0" fontId="8" fillId="0" borderId="9" xfId="5" applyFont="1" applyBorder="1"/>
    <xf numFmtId="0" fontId="8" fillId="0" borderId="10" xfId="5" applyFont="1" applyBorder="1"/>
    <xf numFmtId="0" fontId="7" fillId="0" borderId="1" xfId="5" applyBorder="1"/>
    <xf numFmtId="0" fontId="8" fillId="0" borderId="1" xfId="5" applyFont="1" applyBorder="1"/>
    <xf numFmtId="0" fontId="7" fillId="0" borderId="10" xfId="5" applyBorder="1"/>
    <xf numFmtId="0" fontId="7" fillId="0" borderId="1" xfId="5" applyBorder="1" applyAlignment="1">
      <alignment horizontal="left" wrapText="1"/>
    </xf>
    <xf numFmtId="3" fontId="7" fillId="0" borderId="12" xfId="5" applyNumberFormat="1" applyBorder="1"/>
    <xf numFmtId="3" fontId="7" fillId="0" borderId="1" xfId="5" applyNumberFormat="1" applyBorder="1"/>
    <xf numFmtId="0" fontId="8" fillId="2" borderId="8" xfId="5" applyFont="1" applyFill="1" applyBorder="1"/>
    <xf numFmtId="0" fontId="8" fillId="2" borderId="10" xfId="5" applyFont="1" applyFill="1" applyBorder="1"/>
    <xf numFmtId="0" fontId="7" fillId="2" borderId="10" xfId="5" applyFill="1" applyBorder="1"/>
    <xf numFmtId="0" fontId="7" fillId="2" borderId="1" xfId="5" applyFill="1" applyBorder="1"/>
    <xf numFmtId="0" fontId="8" fillId="2" borderId="11" xfId="5" applyFont="1" applyFill="1" applyBorder="1"/>
    <xf numFmtId="0" fontId="8" fillId="0" borderId="13" xfId="5" applyFont="1" applyBorder="1"/>
    <xf numFmtId="0" fontId="7" fillId="0" borderId="14" xfId="5" applyBorder="1"/>
    <xf numFmtId="0" fontId="8" fillId="0" borderId="15" xfId="5" applyFont="1" applyBorder="1" applyAlignment="1">
      <alignment horizontal="center" vertical="top" wrapText="1"/>
    </xf>
    <xf numFmtId="0" fontId="8" fillId="2" borderId="15" xfId="5" applyFont="1" applyFill="1" applyBorder="1" applyAlignment="1">
      <alignment horizontal="center" vertical="top" wrapText="1"/>
    </xf>
    <xf numFmtId="0" fontId="8" fillId="3" borderId="15" xfId="5" applyFont="1" applyFill="1" applyBorder="1" applyAlignment="1">
      <alignment horizontal="center" vertical="top" wrapText="1"/>
    </xf>
    <xf numFmtId="0" fontId="8" fillId="0" borderId="16" xfId="5" applyFont="1" applyBorder="1" applyAlignment="1">
      <alignment horizontal="center" vertical="top" wrapText="1"/>
    </xf>
    <xf numFmtId="0" fontId="8" fillId="0" borderId="17" xfId="5" applyFont="1" applyBorder="1" applyAlignment="1">
      <alignment horizontal="center" vertical="top" wrapText="1"/>
    </xf>
    <xf numFmtId="0" fontId="0" fillId="0" borderId="1" xfId="0" applyBorder="1"/>
    <xf numFmtId="0" fontId="7" fillId="0" borderId="1" xfId="5" applyBorder="1" applyAlignment="1">
      <alignment horizontal="left" vertical="top" wrapText="1"/>
    </xf>
    <xf numFmtId="0" fontId="7" fillId="0" borderId="1" xfId="5" applyBorder="1" applyAlignment="1">
      <alignment vertical="top" wrapText="1"/>
    </xf>
    <xf numFmtId="0" fontId="7" fillId="0" borderId="1" xfId="5" applyBorder="1" applyAlignment="1"/>
    <xf numFmtId="0" fontId="8" fillId="0" borderId="0" xfId="0" applyFont="1"/>
    <xf numFmtId="0" fontId="7" fillId="0" borderId="18" xfId="0" applyFont="1" applyBorder="1"/>
    <xf numFmtId="0" fontId="11" fillId="0" borderId="20" xfId="0" applyFont="1" applyBorder="1"/>
    <xf numFmtId="0" fontId="12" fillId="0" borderId="2" xfId="0" applyFont="1" applyBorder="1"/>
    <xf numFmtId="0" fontId="11" fillId="0" borderId="22" xfId="0" applyFont="1" applyBorder="1"/>
    <xf numFmtId="0" fontId="12" fillId="0" borderId="22" xfId="0" applyFont="1" applyBorder="1"/>
    <xf numFmtId="0" fontId="8" fillId="0" borderId="0" xfId="0" applyFont="1" applyBorder="1"/>
    <xf numFmtId="0" fontId="11" fillId="0" borderId="0" xfId="0" applyFont="1" applyBorder="1"/>
    <xf numFmtId="0" fontId="11" fillId="0" borderId="1" xfId="0" applyFont="1" applyBorder="1"/>
    <xf numFmtId="0" fontId="8" fillId="0" borderId="7" xfId="6" applyFont="1" applyBorder="1" applyAlignment="1">
      <alignment horizontal="center"/>
    </xf>
    <xf numFmtId="0" fontId="8" fillId="0" borderId="9" xfId="6" applyFont="1" applyBorder="1" applyAlignment="1">
      <alignment horizontal="center"/>
    </xf>
    <xf numFmtId="0" fontId="13" fillId="0" borderId="9" xfId="6" applyFont="1" applyBorder="1" applyAlignment="1">
      <alignment horizontal="center"/>
    </xf>
    <xf numFmtId="0" fontId="7" fillId="0" borderId="7" xfId="6" applyBorder="1"/>
    <xf numFmtId="0" fontId="8" fillId="4" borderId="22" xfId="6" applyFont="1" applyFill="1" applyBorder="1"/>
    <xf numFmtId="0" fontId="7" fillId="4" borderId="23" xfId="6" applyFill="1" applyBorder="1"/>
    <xf numFmtId="0" fontId="7" fillId="4" borderId="35" xfId="6" applyFill="1" applyBorder="1"/>
    <xf numFmtId="0" fontId="7" fillId="0" borderId="2" xfId="6" applyBorder="1"/>
    <xf numFmtId="0" fontId="7" fillId="0" borderId="3" xfId="6" applyBorder="1"/>
    <xf numFmtId="0" fontId="7" fillId="0" borderId="18" xfId="6" applyBorder="1"/>
    <xf numFmtId="0" fontId="7" fillId="0" borderId="24" xfId="6" applyBorder="1"/>
    <xf numFmtId="0" fontId="7" fillId="0" borderId="19" xfId="6" applyBorder="1"/>
    <xf numFmtId="0" fontId="7" fillId="0" borderId="25" xfId="6" applyBorder="1"/>
    <xf numFmtId="0" fontId="7" fillId="0" borderId="22" xfId="6" applyBorder="1"/>
    <xf numFmtId="0" fontId="7" fillId="0" borderId="23" xfId="6" applyBorder="1"/>
    <xf numFmtId="0" fontId="8" fillId="0" borderId="1" xfId="6" applyFont="1" applyBorder="1"/>
    <xf numFmtId="0" fontId="0" fillId="0" borderId="5" xfId="0" applyBorder="1"/>
    <xf numFmtId="0" fontId="0" fillId="0" borderId="6" xfId="0" applyBorder="1"/>
    <xf numFmtId="0" fontId="0" fillId="0" borderId="36" xfId="0" applyBorder="1"/>
    <xf numFmtId="0" fontId="0" fillId="0" borderId="10" xfId="0" applyBorder="1"/>
    <xf numFmtId="0" fontId="0" fillId="0" borderId="0" xfId="0" applyBorder="1"/>
    <xf numFmtId="0" fontId="0" fillId="0" borderId="31" xfId="0" applyBorder="1"/>
    <xf numFmtId="0" fontId="7" fillId="0" borderId="0" xfId="6" applyBorder="1"/>
    <xf numFmtId="0" fontId="2" fillId="0" borderId="0" xfId="0" applyFont="1" applyBorder="1"/>
    <xf numFmtId="0" fontId="0" fillId="0" borderId="13" xfId="0" applyBorder="1"/>
    <xf numFmtId="0" fontId="0" fillId="0" borderId="32" xfId="0" applyBorder="1"/>
    <xf numFmtId="0" fontId="0" fillId="0" borderId="33" xfId="0" applyBorder="1"/>
    <xf numFmtId="0" fontId="8" fillId="0" borderId="23" xfId="0" applyFont="1" applyBorder="1"/>
    <xf numFmtId="0" fontId="8" fillId="0" borderId="9" xfId="0" applyFont="1" applyBorder="1" applyAlignment="1">
      <alignment horizontal="left"/>
    </xf>
    <xf numFmtId="0" fontId="0" fillId="0" borderId="9" xfId="0" applyBorder="1"/>
    <xf numFmtId="0" fontId="0" fillId="0" borderId="23" xfId="0" applyBorder="1"/>
    <xf numFmtId="0" fontId="15" fillId="0" borderId="23" xfId="0" applyFont="1" applyBorder="1" applyAlignment="1">
      <alignment horizontal="left" vertical="top" wrapText="1"/>
    </xf>
    <xf numFmtId="0" fontId="0" fillId="0" borderId="35" xfId="0" applyBorder="1"/>
    <xf numFmtId="0" fontId="8" fillId="0" borderId="9" xfId="0" applyFont="1" applyBorder="1" applyAlignment="1">
      <alignment horizontal="center"/>
    </xf>
    <xf numFmtId="0" fontId="0" fillId="0" borderId="37" xfId="0" applyBorder="1"/>
    <xf numFmtId="0" fontId="16" fillId="0" borderId="1" xfId="0" applyFont="1" applyBorder="1" applyAlignment="1">
      <alignment horizontal="center" vertical="top" wrapText="1"/>
    </xf>
    <xf numFmtId="0" fontId="0" fillId="0" borderId="24" xfId="0" applyBorder="1"/>
    <xf numFmtId="0" fontId="13" fillId="0" borderId="9" xfId="0" applyFont="1" applyBorder="1" applyAlignment="1">
      <alignment horizontal="center"/>
    </xf>
    <xf numFmtId="0" fontId="0" fillId="0" borderId="21" xfId="0" applyBorder="1"/>
    <xf numFmtId="0" fontId="0" fillId="0" borderId="26" xfId="0" applyBorder="1"/>
    <xf numFmtId="0" fontId="0" fillId="0" borderId="18" xfId="0" applyBorder="1"/>
    <xf numFmtId="0" fontId="0" fillId="0" borderId="19" xfId="0" applyBorder="1"/>
    <xf numFmtId="0" fontId="11" fillId="0" borderId="22" xfId="0" applyFont="1" applyBorder="1" applyAlignment="1">
      <alignment vertical="top"/>
    </xf>
    <xf numFmtId="0" fontId="12" fillId="0" borderId="21" xfId="0" applyFont="1" applyBorder="1"/>
    <xf numFmtId="0" fontId="0" fillId="0" borderId="7" xfId="0" applyBorder="1"/>
    <xf numFmtId="0" fontId="0" fillId="0" borderId="25" xfId="0" applyBorder="1"/>
    <xf numFmtId="0" fontId="18" fillId="0" borderId="20" xfId="0" applyFont="1" applyBorder="1" applyAlignment="1">
      <alignment horizontal="center"/>
    </xf>
    <xf numFmtId="0" fontId="18" fillId="0" borderId="20" xfId="0" applyFont="1" applyBorder="1"/>
    <xf numFmtId="0" fontId="18" fillId="0" borderId="26" xfId="0" applyFont="1" applyBorder="1" applyAlignment="1">
      <alignment horizontal="center"/>
    </xf>
    <xf numFmtId="0" fontId="18" fillId="0" borderId="26" xfId="0" applyFont="1" applyBorder="1"/>
    <xf numFmtId="0" fontId="18" fillId="0" borderId="9" xfId="0" applyFont="1" applyBorder="1"/>
    <xf numFmtId="0" fontId="18" fillId="0" borderId="1" xfId="0" applyFont="1" applyBorder="1" applyAlignment="1">
      <alignment horizontal="center"/>
    </xf>
    <xf numFmtId="9" fontId="18" fillId="0" borderId="1" xfId="0" applyNumberFormat="1" applyFont="1" applyBorder="1" applyAlignment="1">
      <alignment horizontal="center"/>
    </xf>
    <xf numFmtId="0" fontId="19" fillId="0" borderId="22" xfId="0" applyFont="1" applyBorder="1"/>
    <xf numFmtId="0" fontId="18" fillId="0" borderId="23" xfId="0" applyFont="1" applyBorder="1"/>
    <xf numFmtId="0" fontId="18" fillId="0" borderId="35" xfId="0" applyFont="1" applyBorder="1"/>
    <xf numFmtId="0" fontId="18" fillId="0" borderId="2" xfId="0" applyFont="1" applyBorder="1"/>
    <xf numFmtId="0" fontId="18" fillId="0" borderId="1" xfId="0" applyFont="1" applyBorder="1"/>
    <xf numFmtId="0" fontId="11" fillId="0" borderId="2" xfId="0" applyFont="1" applyBorder="1"/>
    <xf numFmtId="0" fontId="18" fillId="0" borderId="18" xfId="0" applyFont="1" applyBorder="1"/>
    <xf numFmtId="0" fontId="18" fillId="0" borderId="19" xfId="0" applyFont="1" applyBorder="1"/>
    <xf numFmtId="0" fontId="11" fillId="0" borderId="18" xfId="0" applyFont="1" applyBorder="1"/>
    <xf numFmtId="0" fontId="11" fillId="0" borderId="19" xfId="0" applyFont="1" applyBorder="1"/>
    <xf numFmtId="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" xfId="0" applyFont="1" applyBorder="1"/>
    <xf numFmtId="0" fontId="11" fillId="0" borderId="26" xfId="0" applyFont="1" applyBorder="1"/>
    <xf numFmtId="0" fontId="12" fillId="0" borderId="1" xfId="0" applyFont="1" applyBorder="1" applyAlignment="1">
      <alignment horizontal="center" wrapText="1"/>
    </xf>
    <xf numFmtId="9" fontId="12" fillId="0" borderId="1" xfId="0" applyNumberFormat="1" applyFont="1" applyBorder="1" applyAlignment="1">
      <alignment horizontal="center"/>
    </xf>
    <xf numFmtId="0" fontId="12" fillId="0" borderId="18" xfId="0" applyFont="1" applyBorder="1"/>
    <xf numFmtId="0" fontId="18" fillId="0" borderId="0" xfId="0" applyFont="1" applyBorder="1"/>
    <xf numFmtId="0" fontId="12" fillId="0" borderId="18" xfId="0" applyFont="1" applyBorder="1" applyAlignment="1">
      <alignment horizontal="center"/>
    </xf>
    <xf numFmtId="9" fontId="0" fillId="0" borderId="1" xfId="0" applyNumberFormat="1" applyBorder="1"/>
    <xf numFmtId="0" fontId="0" fillId="0" borderId="2" xfId="0" applyBorder="1"/>
    <xf numFmtId="0" fontId="7" fillId="0" borderId="0" xfId="6"/>
    <xf numFmtId="0" fontId="7" fillId="0" borderId="0" xfId="6" applyAlignment="1">
      <alignment horizontal="center"/>
    </xf>
    <xf numFmtId="0" fontId="8" fillId="0" borderId="0" xfId="6" applyFont="1"/>
    <xf numFmtId="0" fontId="3" fillId="0" borderId="10" xfId="0" applyFont="1" applyBorder="1"/>
    <xf numFmtId="0" fontId="23" fillId="0" borderId="32" xfId="0" applyFont="1" applyBorder="1" applyAlignment="1">
      <alignment vertical="top"/>
    </xf>
    <xf numFmtId="0" fontId="0" fillId="12" borderId="0" xfId="0" applyFill="1"/>
    <xf numFmtId="0" fontId="5" fillId="0" borderId="8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1" fillId="0" borderId="10" xfId="0" applyFont="1" applyBorder="1" applyAlignment="1">
      <alignment horizontal="right"/>
    </xf>
    <xf numFmtId="0" fontId="24" fillId="0" borderId="2" xfId="0" applyFont="1" applyBorder="1"/>
    <xf numFmtId="0" fontId="24" fillId="0" borderId="9" xfId="0" applyFont="1" applyBorder="1"/>
    <xf numFmtId="0" fontId="24" fillId="0" borderId="3" xfId="0" applyFont="1" applyBorder="1"/>
    <xf numFmtId="0" fontId="25" fillId="0" borderId="82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0" fillId="0" borderId="34" xfId="0" applyBorder="1"/>
    <xf numFmtId="0" fontId="21" fillId="0" borderId="10" xfId="0" applyFont="1" applyBorder="1"/>
    <xf numFmtId="43" fontId="25" fillId="0" borderId="82" xfId="7" applyFont="1" applyBorder="1" applyAlignment="1">
      <alignment horizontal="center"/>
    </xf>
    <xf numFmtId="0" fontId="27" fillId="0" borderId="10" xfId="0" applyFont="1" applyBorder="1" applyAlignment="1">
      <alignment horizontal="right"/>
    </xf>
    <xf numFmtId="0" fontId="24" fillId="0" borderId="10" xfId="0" applyFont="1" applyBorder="1"/>
    <xf numFmtId="0" fontId="24" fillId="0" borderId="13" xfId="0" applyFont="1" applyBorder="1"/>
    <xf numFmtId="0" fontId="24" fillId="0" borderId="32" xfId="0" applyFont="1" applyBorder="1" applyAlignment="1">
      <alignment horizontal="left" wrapText="1"/>
    </xf>
    <xf numFmtId="0" fontId="0" fillId="12" borderId="32" xfId="0" applyFill="1" applyBorder="1"/>
    <xf numFmtId="0" fontId="25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170" fontId="2" fillId="0" borderId="0" xfId="1" applyNumberFormat="1" applyFont="1"/>
    <xf numFmtId="3" fontId="0" fillId="0" borderId="0" xfId="0" applyNumberFormat="1" applyAlignment="1">
      <alignment horizontal="right"/>
    </xf>
    <xf numFmtId="0" fontId="0" fillId="0" borderId="0" xfId="0" applyFont="1"/>
    <xf numFmtId="170" fontId="2" fillId="0" borderId="0" xfId="0" applyNumberFormat="1" applyFont="1"/>
    <xf numFmtId="0" fontId="2" fillId="0" borderId="1" xfId="0" applyFont="1" applyBorder="1"/>
    <xf numFmtId="170" fontId="0" fillId="0" borderId="0" xfId="1" applyNumberFormat="1" applyFont="1"/>
    <xf numFmtId="3" fontId="0" fillId="0" borderId="1" xfId="0" applyNumberFormat="1" applyBorder="1"/>
    <xf numFmtId="0" fontId="7" fillId="0" borderId="10" xfId="5" applyBorder="1" applyAlignment="1">
      <alignment horizontal="right" wrapText="1"/>
    </xf>
    <xf numFmtId="170" fontId="0" fillId="0" borderId="1" xfId="1" applyNumberFormat="1" applyFont="1" applyBorder="1"/>
    <xf numFmtId="0" fontId="8" fillId="0" borderId="0" xfId="5" applyFont="1" applyBorder="1"/>
    <xf numFmtId="0" fontId="8" fillId="0" borderId="2" xfId="5" applyFont="1" applyBorder="1"/>
    <xf numFmtId="0" fontId="7" fillId="0" borderId="20" xfId="5" applyBorder="1"/>
    <xf numFmtId="3" fontId="2" fillId="0" borderId="1" xfId="0" applyNumberFormat="1" applyFont="1" applyBorder="1"/>
    <xf numFmtId="170" fontId="2" fillId="0" borderId="1" xfId="1" applyNumberFormat="1" applyFont="1" applyBorder="1"/>
    <xf numFmtId="170" fontId="0" fillId="0" borderId="1" xfId="0" applyNumberFormat="1" applyBorder="1"/>
    <xf numFmtId="170" fontId="2" fillId="0" borderId="1" xfId="0" applyNumberFormat="1" applyFont="1" applyBorder="1"/>
    <xf numFmtId="164" fontId="0" fillId="0" borderId="1" xfId="0" applyNumberFormat="1" applyBorder="1"/>
    <xf numFmtId="9" fontId="0" fillId="0" borderId="1" xfId="2" applyFont="1" applyBorder="1"/>
    <xf numFmtId="0" fontId="7" fillId="0" borderId="104" xfId="0" applyFont="1" applyBorder="1"/>
    <xf numFmtId="0" fontId="7" fillId="0" borderId="1" xfId="5" applyFont="1" applyBorder="1"/>
    <xf numFmtId="164" fontId="0" fillId="0" borderId="0" xfId="0" applyNumberFormat="1"/>
    <xf numFmtId="170" fontId="0" fillId="0" borderId="0" xfId="0" applyNumberFormat="1"/>
    <xf numFmtId="9" fontId="0" fillId="0" borderId="1" xfId="11" applyFont="1" applyBorder="1" applyAlignment="1"/>
    <xf numFmtId="165" fontId="0" fillId="0" borderId="1" xfId="8" applyNumberFormat="1" applyFont="1" applyBorder="1"/>
    <xf numFmtId="10" fontId="0" fillId="0" borderId="1" xfId="11" applyNumberFormat="1" applyFont="1" applyBorder="1" applyAlignment="1"/>
    <xf numFmtId="9" fontId="0" fillId="0" borderId="1" xfId="11" applyNumberFormat="1" applyFont="1" applyBorder="1" applyAlignment="1"/>
    <xf numFmtId="0" fontId="29" fillId="0" borderId="106" xfId="6" applyFont="1" applyBorder="1" applyAlignment="1">
      <alignment horizontal="center" wrapText="1"/>
    </xf>
    <xf numFmtId="0" fontId="29" fillId="8" borderId="1" xfId="6" applyFont="1" applyFill="1" applyBorder="1" applyAlignment="1">
      <alignment horizontal="center" wrapText="1"/>
    </xf>
    <xf numFmtId="0" fontId="29" fillId="0" borderId="1" xfId="6" applyFont="1" applyBorder="1" applyAlignment="1">
      <alignment horizontal="center" wrapText="1"/>
    </xf>
    <xf numFmtId="0" fontId="30" fillId="0" borderId="1" xfId="6" applyFont="1" applyBorder="1" applyAlignment="1">
      <alignment horizontal="center" wrapText="1"/>
    </xf>
    <xf numFmtId="0" fontId="30" fillId="0" borderId="1" xfId="6" applyFont="1" applyBorder="1"/>
    <xf numFmtId="0" fontId="30" fillId="8" borderId="1" xfId="6" applyFont="1" applyFill="1" applyBorder="1" applyAlignment="1">
      <alignment horizontal="center" wrapText="1"/>
    </xf>
    <xf numFmtId="0" fontId="30" fillId="8" borderId="1" xfId="6" applyFont="1" applyFill="1" applyBorder="1"/>
    <xf numFmtId="0" fontId="29" fillId="0" borderId="1" xfId="6" applyFont="1" applyBorder="1"/>
    <xf numFmtId="0" fontId="29" fillId="8" borderId="1" xfId="6" applyFont="1" applyFill="1" applyBorder="1"/>
    <xf numFmtId="9" fontId="30" fillId="0" borderId="1" xfId="6" applyNumberFormat="1" applyFont="1" applyBorder="1" applyAlignment="1">
      <alignment wrapText="1"/>
    </xf>
    <xf numFmtId="9" fontId="30" fillId="8" borderId="1" xfId="2" applyFont="1" applyFill="1" applyBorder="1"/>
    <xf numFmtId="0" fontId="29" fillId="0" borderId="105" xfId="6" applyFont="1" applyBorder="1" applyAlignment="1">
      <alignment horizontal="center" wrapText="1"/>
    </xf>
    <xf numFmtId="0" fontId="29" fillId="0" borderId="20" xfId="6" applyFont="1" applyBorder="1" applyAlignment="1">
      <alignment horizontal="center" vertical="center"/>
    </xf>
    <xf numFmtId="0" fontId="29" fillId="8" borderId="1" xfId="6" applyFont="1" applyFill="1" applyBorder="1" applyAlignment="1">
      <alignment horizontal="center" vertical="center"/>
    </xf>
    <xf numFmtId="9" fontId="30" fillId="0" borderId="1" xfId="6" applyNumberFormat="1" applyFont="1" applyBorder="1"/>
    <xf numFmtId="9" fontId="30" fillId="8" borderId="1" xfId="6" applyNumberFormat="1" applyFont="1" applyFill="1" applyBorder="1"/>
    <xf numFmtId="0" fontId="32" fillId="0" borderId="1" xfId="6" applyFont="1" applyBorder="1" applyAlignment="1">
      <alignment horizontal="right"/>
    </xf>
    <xf numFmtId="0" fontId="32" fillId="8" borderId="1" xfId="6" applyFont="1" applyFill="1" applyBorder="1" applyAlignment="1">
      <alignment horizontal="right"/>
    </xf>
    <xf numFmtId="9" fontId="29" fillId="8" borderId="1" xfId="2" applyFont="1" applyFill="1" applyBorder="1" applyAlignment="1">
      <alignment horizontal="center" wrapText="1"/>
    </xf>
    <xf numFmtId="9" fontId="29" fillId="8" borderId="1" xfId="2" applyFont="1" applyFill="1" applyBorder="1" applyAlignment="1">
      <alignment horizontal="center" vertical="center"/>
    </xf>
    <xf numFmtId="9" fontId="32" fillId="8" borderId="1" xfId="2" applyFont="1" applyFill="1" applyBorder="1" applyAlignment="1">
      <alignment horizontal="right"/>
    </xf>
    <xf numFmtId="9" fontId="0" fillId="0" borderId="0" xfId="2" applyFont="1"/>
    <xf numFmtId="9" fontId="0" fillId="0" borderId="0" xfId="0" applyNumberFormat="1"/>
    <xf numFmtId="0" fontId="2" fillId="0" borderId="22" xfId="0" applyFont="1" applyBorder="1"/>
    <xf numFmtId="0" fontId="2" fillId="0" borderId="23" xfId="0" applyFont="1" applyBorder="1"/>
    <xf numFmtId="0" fontId="2" fillId="0" borderId="35" xfId="0" applyFont="1" applyBorder="1"/>
    <xf numFmtId="0" fontId="0" fillId="0" borderId="18" xfId="0" applyFont="1" applyBorder="1"/>
    <xf numFmtId="0" fontId="2" fillId="0" borderId="22" xfId="0" applyFont="1" applyBorder="1" applyAlignment="1">
      <alignment horizontal="centerContinuous"/>
    </xf>
    <xf numFmtId="0" fontId="2" fillId="0" borderId="23" xfId="0" applyFont="1" applyBorder="1" applyAlignment="1">
      <alignment horizontal="centerContinuous"/>
    </xf>
    <xf numFmtId="0" fontId="2" fillId="0" borderId="35" xfId="0" applyFont="1" applyBorder="1" applyAlignment="1">
      <alignment horizontal="centerContinuous"/>
    </xf>
    <xf numFmtId="0" fontId="2" fillId="0" borderId="24" xfId="0" applyFont="1" applyBorder="1"/>
    <xf numFmtId="170" fontId="0" fillId="0" borderId="0" xfId="0" applyNumberFormat="1" applyFont="1" applyBorder="1"/>
    <xf numFmtId="170" fontId="0" fillId="0" borderId="24" xfId="0" applyNumberFormat="1" applyFont="1" applyBorder="1"/>
    <xf numFmtId="170" fontId="2" fillId="0" borderId="7" xfId="0" applyNumberFormat="1" applyFont="1" applyBorder="1"/>
    <xf numFmtId="0" fontId="29" fillId="8" borderId="106" xfId="6" applyFont="1" applyFill="1" applyBorder="1" applyAlignment="1">
      <alignment horizontal="center" wrapText="1"/>
    </xf>
    <xf numFmtId="0" fontId="29" fillId="8" borderId="22" xfId="6" applyFont="1" applyFill="1" applyBorder="1" applyAlignment="1">
      <alignment horizontal="center" wrapText="1"/>
    </xf>
    <xf numFmtId="0" fontId="29" fillId="8" borderId="105" xfId="6" applyFont="1" applyFill="1" applyBorder="1" applyAlignment="1">
      <alignment horizontal="center" wrapText="1"/>
    </xf>
    <xf numFmtId="0" fontId="29" fillId="8" borderId="18" xfId="6" applyFont="1" applyFill="1" applyBorder="1" applyAlignment="1">
      <alignment horizontal="center" wrapText="1"/>
    </xf>
    <xf numFmtId="0" fontId="29" fillId="8" borderId="20" xfId="6" applyFont="1" applyFill="1" applyBorder="1" applyAlignment="1">
      <alignment horizontal="center" vertical="center"/>
    </xf>
    <xf numFmtId="9" fontId="29" fillId="8" borderId="20" xfId="6" applyNumberFormat="1" applyFont="1" applyFill="1" applyBorder="1" applyAlignment="1">
      <alignment horizontal="center" vertical="center"/>
    </xf>
    <xf numFmtId="170" fontId="30" fillId="8" borderId="1" xfId="6" applyNumberFormat="1" applyFont="1" applyFill="1" applyBorder="1" applyAlignment="1">
      <alignment horizontal="right"/>
    </xf>
    <xf numFmtId="0" fontId="30" fillId="8" borderId="1" xfId="6" applyFont="1" applyFill="1" applyBorder="1" applyAlignment="1">
      <alignment horizontal="right"/>
    </xf>
    <xf numFmtId="0" fontId="29" fillId="0" borderId="107" xfId="6" applyFont="1" applyBorder="1" applyAlignment="1">
      <alignment horizontal="center" wrapText="1"/>
    </xf>
    <xf numFmtId="0" fontId="30" fillId="0" borderId="107" xfId="6" applyFont="1" applyBorder="1"/>
    <xf numFmtId="165" fontId="30" fillId="0" borderId="1" xfId="8" applyNumberFormat="1" applyFont="1" applyBorder="1" applyAlignment="1">
      <alignment horizontal="center" wrapText="1"/>
    </xf>
    <xf numFmtId="170" fontId="30" fillId="0" borderId="1" xfId="1" applyNumberFormat="1" applyFont="1" applyBorder="1"/>
    <xf numFmtId="1" fontId="30" fillId="0" borderId="1" xfId="6" applyNumberFormat="1" applyFont="1" applyBorder="1"/>
    <xf numFmtId="170" fontId="30" fillId="0" borderId="1" xfId="1" applyNumberFormat="1" applyFont="1" applyBorder="1" applyAlignment="1">
      <alignment horizontal="center" wrapText="1"/>
    </xf>
    <xf numFmtId="170" fontId="30" fillId="0" borderId="1" xfId="6" applyNumberFormat="1" applyFont="1" applyBorder="1"/>
    <xf numFmtId="3" fontId="30" fillId="0" borderId="1" xfId="6" applyNumberFormat="1" applyFont="1" applyBorder="1"/>
    <xf numFmtId="0" fontId="22" fillId="0" borderId="18" xfId="6" applyFont="1" applyBorder="1"/>
    <xf numFmtId="0" fontId="20" fillId="0" borderId="19" xfId="6" applyFont="1" applyFill="1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26" xfId="1" applyFont="1" applyBorder="1"/>
    <xf numFmtId="170" fontId="0" fillId="0" borderId="26" xfId="1" applyNumberFormat="1" applyFont="1" applyBorder="1"/>
    <xf numFmtId="3" fontId="0" fillId="0" borderId="2" xfId="0" applyNumberFormat="1" applyFont="1" applyFill="1" applyBorder="1" applyAlignment="1">
      <alignment horizontal="center"/>
    </xf>
    <xf numFmtId="3" fontId="0" fillId="0" borderId="1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14" fillId="0" borderId="0" xfId="0" applyFont="1"/>
    <xf numFmtId="0" fontId="8" fillId="4" borderId="0" xfId="6" applyFont="1" applyFill="1"/>
    <xf numFmtId="0" fontId="33" fillId="0" borderId="0" xfId="6" applyFont="1"/>
    <xf numFmtId="0" fontId="34" fillId="0" borderId="0" xfId="0" applyFont="1"/>
    <xf numFmtId="0" fontId="2" fillId="0" borderId="1" xfId="0" applyFont="1" applyBorder="1" applyAlignment="1">
      <alignment horizontal="center"/>
    </xf>
    <xf numFmtId="9" fontId="0" fillId="0" borderId="0" xfId="0" applyNumberFormat="1" applyFont="1"/>
    <xf numFmtId="164" fontId="0" fillId="0" borderId="0" xfId="1" applyFont="1"/>
    <xf numFmtId="0" fontId="7" fillId="0" borderId="9" xfId="6" applyBorder="1"/>
    <xf numFmtId="172" fontId="0" fillId="0" borderId="0" xfId="0" applyNumberFormat="1"/>
    <xf numFmtId="164" fontId="8" fillId="0" borderId="0" xfId="1" applyFont="1" applyBorder="1" applyAlignment="1">
      <alignment horizontal="center" vertical="top" wrapText="1"/>
    </xf>
    <xf numFmtId="170" fontId="0" fillId="0" borderId="1" xfId="1" applyNumberFormat="1" applyFont="1" applyBorder="1" applyAlignment="1">
      <alignment horizontal="left"/>
    </xf>
    <xf numFmtId="0" fontId="7" fillId="0" borderId="1" xfId="5" applyFill="1" applyBorder="1" applyAlignment="1"/>
    <xf numFmtId="170" fontId="0" fillId="0" borderId="1" xfId="1" applyNumberFormat="1" applyFont="1" applyFill="1" applyBorder="1"/>
    <xf numFmtId="0" fontId="0" fillId="0" borderId="1" xfId="0" applyFill="1" applyBorder="1"/>
    <xf numFmtId="168" fontId="0" fillId="0" borderId="1" xfId="2" applyNumberFormat="1" applyFont="1" applyFill="1" applyBorder="1"/>
    <xf numFmtId="0" fontId="7" fillId="0" borderId="1" xfId="5" applyFill="1" applyBorder="1" applyAlignment="1">
      <alignment vertical="top" wrapText="1"/>
    </xf>
    <xf numFmtId="0" fontId="8" fillId="0" borderId="1" xfId="5" applyFont="1" applyFill="1" applyBorder="1"/>
    <xf numFmtId="170" fontId="8" fillId="0" borderId="0" xfId="1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3" fontId="0" fillId="0" borderId="0" xfId="0" applyNumberFormat="1" applyFont="1"/>
    <xf numFmtId="4" fontId="0" fillId="0" borderId="0" xfId="0" applyNumberFormat="1"/>
    <xf numFmtId="4" fontId="2" fillId="0" borderId="0" xfId="0" applyNumberFormat="1" applyFont="1"/>
    <xf numFmtId="0" fontId="2" fillId="0" borderId="116" xfId="0" applyFont="1" applyBorder="1"/>
    <xf numFmtId="3" fontId="2" fillId="0" borderId="116" xfId="0" applyNumberFormat="1" applyFont="1" applyBorder="1"/>
    <xf numFmtId="0" fontId="0" fillId="0" borderId="116" xfId="0" applyBorder="1"/>
    <xf numFmtId="170" fontId="0" fillId="0" borderId="116" xfId="1" applyNumberFormat="1" applyFont="1" applyBorder="1"/>
    <xf numFmtId="4" fontId="2" fillId="0" borderId="116" xfId="0" applyNumberFormat="1" applyFont="1" applyBorder="1"/>
    <xf numFmtId="170" fontId="0" fillId="0" borderId="1" xfId="0" applyNumberFormat="1" applyFont="1" applyBorder="1"/>
    <xf numFmtId="16" fontId="30" fillId="0" borderId="1" xfId="6" applyNumberFormat="1" applyFont="1" applyBorder="1"/>
    <xf numFmtId="9" fontId="30" fillId="0" borderId="1" xfId="2" applyFont="1" applyFill="1" applyBorder="1"/>
    <xf numFmtId="0" fontId="0" fillId="0" borderId="0" xfId="0" applyFont="1" applyBorder="1"/>
    <xf numFmtId="43" fontId="2" fillId="0" borderId="61" xfId="8" applyFont="1" applyBorder="1" applyAlignment="1">
      <alignment horizontal="right"/>
    </xf>
    <xf numFmtId="0" fontId="2" fillId="0" borderId="117" xfId="0" applyFont="1" applyBorder="1"/>
    <xf numFmtId="170" fontId="0" fillId="0" borderId="0" xfId="1" applyNumberFormat="1" applyFont="1" applyBorder="1"/>
    <xf numFmtId="3" fontId="2" fillId="0" borderId="0" xfId="0" applyNumberFormat="1" applyFont="1" applyBorder="1"/>
    <xf numFmtId="9" fontId="0" fillId="14" borderId="1" xfId="0" applyNumberFormat="1" applyFill="1" applyBorder="1"/>
    <xf numFmtId="170" fontId="2" fillId="0" borderId="116" xfId="1" applyNumberFormat="1" applyFont="1" applyBorder="1"/>
    <xf numFmtId="170" fontId="2" fillId="0" borderId="0" xfId="1" applyNumberFormat="1" applyFont="1" applyBorder="1"/>
    <xf numFmtId="9" fontId="0" fillId="0" borderId="0" xfId="2" applyFont="1" applyBorder="1"/>
    <xf numFmtId="0" fontId="2" fillId="0" borderId="1" xfId="0" applyFont="1" applyBorder="1" applyAlignment="1">
      <alignment horizontal="center"/>
    </xf>
    <xf numFmtId="10" fontId="0" fillId="0" borderId="0" xfId="2" applyNumberFormat="1" applyFont="1"/>
    <xf numFmtId="10" fontId="0" fillId="0" borderId="0" xfId="0" applyNumberFormat="1"/>
    <xf numFmtId="165" fontId="1" fillId="0" borderId="122" xfId="17" applyNumberFormat="1" applyFont="1" applyBorder="1"/>
    <xf numFmtId="10" fontId="1" fillId="0" borderId="123" xfId="18" applyNumberFormat="1" applyFont="1" applyBorder="1" applyAlignment="1">
      <alignment horizontal="center" vertical="center" wrapText="1"/>
    </xf>
    <xf numFmtId="165" fontId="1" fillId="0" borderId="122" xfId="17" applyNumberFormat="1" applyFont="1" applyFill="1" applyBorder="1"/>
    <xf numFmtId="0" fontId="36" fillId="0" borderId="1" xfId="0" applyFont="1" applyBorder="1"/>
    <xf numFmtId="170" fontId="34" fillId="0" borderId="1" xfId="0" applyNumberFormat="1" applyFont="1" applyBorder="1"/>
    <xf numFmtId="9" fontId="2" fillId="0" borderId="0" xfId="2" applyFont="1" applyBorder="1"/>
    <xf numFmtId="2" fontId="0" fillId="0" borderId="0" xfId="1" applyNumberFormat="1" applyFont="1" applyBorder="1"/>
    <xf numFmtId="43" fontId="0" fillId="0" borderId="24" xfId="0" applyNumberFormat="1" applyBorder="1"/>
    <xf numFmtId="165" fontId="0" fillId="0" borderId="24" xfId="0" applyNumberFormat="1" applyBorder="1"/>
    <xf numFmtId="170" fontId="2" fillId="0" borderId="116" xfId="0" applyNumberFormat="1" applyFont="1" applyBorder="1"/>
    <xf numFmtId="165" fontId="2" fillId="0" borderId="116" xfId="0" applyNumberFormat="1" applyFont="1" applyBorder="1"/>
    <xf numFmtId="170" fontId="2" fillId="0" borderId="25" xfId="0" applyNumberFormat="1" applyFont="1" applyBorder="1"/>
    <xf numFmtId="2" fontId="0" fillId="0" borderId="1" xfId="0" applyNumberFormat="1" applyBorder="1"/>
    <xf numFmtId="164" fontId="0" fillId="0" borderId="1" xfId="8" applyNumberFormat="1" applyFont="1" applyBorder="1"/>
    <xf numFmtId="0" fontId="0" fillId="0" borderId="0" xfId="0" applyAlignment="1">
      <alignment wrapText="1"/>
    </xf>
    <xf numFmtId="0" fontId="2" fillId="3" borderId="1" xfId="0" applyFont="1" applyFill="1" applyBorder="1"/>
    <xf numFmtId="0" fontId="30" fillId="0" borderId="1" xfId="6" applyFont="1" applyBorder="1" applyAlignment="1">
      <alignment horizontal="center" wrapText="1"/>
    </xf>
    <xf numFmtId="170" fontId="41" fillId="0" borderId="0" xfId="1" applyNumberFormat="1" applyFont="1"/>
    <xf numFmtId="0" fontId="0" fillId="14" borderId="0" xfId="0" applyFont="1" applyFill="1"/>
    <xf numFmtId="9" fontId="0" fillId="14" borderId="0" xfId="0" applyNumberFormat="1" applyFont="1" applyFill="1"/>
    <xf numFmtId="0" fontId="2" fillId="14" borderId="0" xfId="0" applyFont="1" applyFill="1" applyBorder="1"/>
    <xf numFmtId="0" fontId="41" fillId="0" borderId="0" xfId="0" applyFont="1"/>
    <xf numFmtId="0" fontId="0" fillId="0" borderId="0" xfId="0" applyFont="1" applyFill="1"/>
    <xf numFmtId="0" fontId="2" fillId="0" borderId="0" xfId="0" applyFont="1" applyFill="1" applyBorder="1" applyAlignment="1">
      <alignment horizontal="center"/>
    </xf>
    <xf numFmtId="0" fontId="30" fillId="0" borderId="1" xfId="6" applyFont="1" applyFill="1" applyBorder="1"/>
    <xf numFmtId="0" fontId="29" fillId="0" borderId="20" xfId="6" applyFont="1" applyFill="1" applyBorder="1" applyAlignment="1">
      <alignment horizontal="center" vertical="center"/>
    </xf>
    <xf numFmtId="0" fontId="32" fillId="0" borderId="1" xfId="6" applyFont="1" applyFill="1" applyBorder="1" applyAlignment="1">
      <alignment horizontal="right"/>
    </xf>
    <xf numFmtId="0" fontId="29" fillId="0" borderId="18" xfId="6" applyFont="1" applyFill="1" applyBorder="1" applyAlignment="1">
      <alignment horizontal="center" wrapText="1"/>
    </xf>
    <xf numFmtId="9" fontId="37" fillId="0" borderId="0" xfId="2" applyFont="1"/>
    <xf numFmtId="0" fontId="2" fillId="14" borderId="23" xfId="0" applyFont="1" applyFill="1" applyBorder="1" applyAlignment="1">
      <alignment horizontal="centerContinuous"/>
    </xf>
    <xf numFmtId="170" fontId="0" fillId="14" borderId="0" xfId="0" applyNumberFormat="1" applyFont="1" applyFill="1" applyBorder="1"/>
    <xf numFmtId="170" fontId="2" fillId="14" borderId="7" xfId="0" applyNumberFormat="1" applyFont="1" applyFill="1" applyBorder="1"/>
    <xf numFmtId="170" fontId="0" fillId="0" borderId="0" xfId="0" applyNumberFormat="1" applyFont="1"/>
    <xf numFmtId="3" fontId="0" fillId="0" borderId="1" xfId="0" applyNumberFormat="1" applyBorder="1" applyAlignment="1">
      <alignment horizontal="right"/>
    </xf>
    <xf numFmtId="170" fontId="2" fillId="0" borderId="1" xfId="0" applyNumberFormat="1" applyFont="1" applyFill="1" applyBorder="1"/>
    <xf numFmtId="170" fontId="2" fillId="0" borderId="1" xfId="1" applyNumberFormat="1" applyFont="1" applyFill="1" applyBorder="1"/>
    <xf numFmtId="170" fontId="0" fillId="0" borderId="26" xfId="1" applyNumberFormat="1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36" xfId="0" applyFont="1" applyFill="1" applyBorder="1"/>
    <xf numFmtId="0" fontId="38" fillId="3" borderId="38" xfId="0" applyFont="1" applyFill="1" applyBorder="1"/>
    <xf numFmtId="0" fontId="2" fillId="3" borderId="27" xfId="0" applyFont="1" applyFill="1" applyBorder="1"/>
    <xf numFmtId="0" fontId="2" fillId="3" borderId="10" xfId="0" applyFont="1" applyFill="1" applyBorder="1"/>
    <xf numFmtId="0" fontId="2" fillId="3" borderId="31" xfId="0" applyFont="1" applyFill="1" applyBorder="1"/>
    <xf numFmtId="0" fontId="38" fillId="3" borderId="39" xfId="0" applyFont="1" applyFill="1" applyBorder="1"/>
    <xf numFmtId="0" fontId="0" fillId="0" borderId="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8" xfId="0" applyBorder="1"/>
    <xf numFmtId="0" fontId="0" fillId="0" borderId="14" xfId="0" applyBorder="1" applyAlignment="1">
      <alignment wrapText="1"/>
    </xf>
    <xf numFmtId="0" fontId="0" fillId="0" borderId="14" xfId="0" applyBorder="1"/>
    <xf numFmtId="0" fontId="0" fillId="0" borderId="14" xfId="0" applyFill="1" applyBorder="1"/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0" fillId="0" borderId="125" xfId="0" applyBorder="1"/>
    <xf numFmtId="0" fontId="0" fillId="0" borderId="82" xfId="0" applyBorder="1"/>
    <xf numFmtId="170" fontId="0" fillId="0" borderId="34" xfId="0" applyNumberFormat="1" applyBorder="1"/>
    <xf numFmtId="0" fontId="0" fillId="0" borderId="101" xfId="0" applyBorder="1"/>
    <xf numFmtId="170" fontId="0" fillId="0" borderId="26" xfId="0" applyNumberFormat="1" applyBorder="1"/>
    <xf numFmtId="170" fontId="0" fillId="0" borderId="99" xfId="0" applyNumberFormat="1" applyBorder="1"/>
    <xf numFmtId="0" fontId="2" fillId="3" borderId="17" xfId="0" applyFont="1" applyFill="1" applyBorder="1"/>
    <xf numFmtId="0" fontId="2" fillId="3" borderId="15" xfId="0" applyFont="1" applyFill="1" applyBorder="1"/>
    <xf numFmtId="0" fontId="2" fillId="3" borderId="125" xfId="0" applyFont="1" applyFill="1" applyBorder="1"/>
    <xf numFmtId="3" fontId="0" fillId="0" borderId="26" xfId="0" applyNumberFormat="1" applyBorder="1"/>
    <xf numFmtId="0" fontId="0" fillId="3" borderId="17" xfId="0" applyFill="1" applyBorder="1"/>
    <xf numFmtId="0" fontId="2" fillId="3" borderId="15" xfId="0" applyFont="1" applyFill="1" applyBorder="1" applyAlignment="1">
      <alignment wrapText="1"/>
    </xf>
    <xf numFmtId="3" fontId="0" fillId="0" borderId="99" xfId="0" applyNumberFormat="1" applyBorder="1"/>
    <xf numFmtId="170" fontId="0" fillId="0" borderId="34" xfId="1" applyNumberFormat="1" applyFont="1" applyBorder="1"/>
    <xf numFmtId="0" fontId="0" fillId="0" borderId="126" xfId="0" applyBorder="1"/>
    <xf numFmtId="170" fontId="2" fillId="3" borderId="15" xfId="0" applyNumberFormat="1" applyFont="1" applyFill="1" applyBorder="1"/>
    <xf numFmtId="170" fontId="2" fillId="3" borderId="125" xfId="0" applyNumberFormat="1" applyFont="1" applyFill="1" applyBorder="1"/>
    <xf numFmtId="3" fontId="2" fillId="3" borderId="15" xfId="0" applyNumberFormat="1" applyFont="1" applyFill="1" applyBorder="1"/>
    <xf numFmtId="3" fontId="2" fillId="3" borderId="125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wrapText="1"/>
    </xf>
    <xf numFmtId="3" fontId="2" fillId="0" borderId="52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2" fillId="0" borderId="6" xfId="0" applyFont="1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6" xfId="0" applyFill="1" applyBorder="1"/>
    <xf numFmtId="0" fontId="2" fillId="0" borderId="50" xfId="0" applyFont="1" applyFill="1" applyBorder="1"/>
    <xf numFmtId="0" fontId="2" fillId="0" borderId="49" xfId="0" applyFont="1" applyFill="1" applyBorder="1"/>
    <xf numFmtId="170" fontId="2" fillId="0" borderId="50" xfId="0" applyNumberFormat="1" applyFont="1" applyFill="1" applyBorder="1"/>
    <xf numFmtId="3" fontId="2" fillId="0" borderId="50" xfId="0" applyNumberFormat="1" applyFont="1" applyFill="1" applyBorder="1"/>
    <xf numFmtId="3" fontId="2" fillId="0" borderId="45" xfId="0" applyNumberFormat="1" applyFont="1" applyFill="1" applyBorder="1"/>
    <xf numFmtId="0" fontId="0" fillId="2" borderId="0" xfId="0" applyFont="1" applyFill="1"/>
    <xf numFmtId="0" fontId="0" fillId="14" borderId="0" xfId="0" applyFill="1"/>
    <xf numFmtId="170" fontId="0" fillId="14" borderId="0" xfId="0" applyNumberFormat="1" applyFill="1"/>
    <xf numFmtId="172" fontId="0" fillId="14" borderId="0" xfId="0" applyNumberFormat="1" applyFill="1"/>
    <xf numFmtId="0" fontId="2" fillId="14" borderId="0" xfId="0" applyFont="1" applyFill="1"/>
    <xf numFmtId="170" fontId="0" fillId="14" borderId="0" xfId="1" applyNumberFormat="1" applyFont="1" applyFill="1"/>
    <xf numFmtId="3" fontId="2" fillId="14" borderId="116" xfId="0" applyNumberFormat="1" applyFont="1" applyFill="1" applyBorder="1"/>
    <xf numFmtId="0" fontId="0" fillId="14" borderId="0" xfId="0" applyFill="1" applyBorder="1"/>
    <xf numFmtId="9" fontId="0" fillId="14" borderId="0" xfId="2" applyFont="1" applyFill="1"/>
    <xf numFmtId="164" fontId="0" fillId="14" borderId="0" xfId="1" applyFont="1" applyFill="1"/>
    <xf numFmtId="0" fontId="37" fillId="14" borderId="0" xfId="0" applyFont="1" applyFill="1" applyAlignment="1">
      <alignment wrapText="1"/>
    </xf>
    <xf numFmtId="0" fontId="30" fillId="0" borderId="1" xfId="0" applyFont="1" applyBorder="1" applyAlignment="1">
      <alignment horizontal="center" vertical="center"/>
    </xf>
    <xf numFmtId="0" fontId="0" fillId="0" borderId="0" xfId="0"/>
    <xf numFmtId="0" fontId="30" fillId="0" borderId="1" xfId="6" applyFont="1" applyBorder="1" applyAlignment="1">
      <alignment horizontal="center" wrapText="1"/>
    </xf>
    <xf numFmtId="4" fontId="2" fillId="14" borderId="116" xfId="0" applyNumberFormat="1" applyFont="1" applyFill="1" applyBorder="1"/>
    <xf numFmtId="0" fontId="30" fillId="0" borderId="0" xfId="0" applyFont="1"/>
    <xf numFmtId="0" fontId="29" fillId="0" borderId="18" xfId="0" applyFont="1" applyBorder="1"/>
    <xf numFmtId="0" fontId="29" fillId="0" borderId="0" xfId="0" applyFont="1"/>
    <xf numFmtId="0" fontId="29" fillId="0" borderId="0" xfId="0" applyFont="1" applyBorder="1"/>
    <xf numFmtId="0" fontId="30" fillId="0" borderId="5" xfId="0" applyFont="1" applyBorder="1"/>
    <xf numFmtId="0" fontId="30" fillId="0" borderId="6" xfId="0" applyFont="1" applyFill="1" applyBorder="1"/>
    <xf numFmtId="0" fontId="29" fillId="2" borderId="29" xfId="0" applyFont="1" applyFill="1" applyBorder="1" applyAlignment="1">
      <alignment horizontal="center" vertical="top" wrapText="1"/>
    </xf>
    <xf numFmtId="0" fontId="29" fillId="0" borderId="29" xfId="0" applyFont="1" applyFill="1" applyBorder="1" applyAlignment="1">
      <alignment horizontal="center" vertical="top" wrapText="1"/>
    </xf>
    <xf numFmtId="0" fontId="29" fillId="0" borderId="29" xfId="0" applyFont="1" applyBorder="1" applyAlignment="1">
      <alignment horizontal="center" vertical="top" wrapText="1"/>
    </xf>
    <xf numFmtId="43" fontId="29" fillId="2" borderId="29" xfId="4" applyFont="1" applyFill="1" applyBorder="1" applyAlignment="1">
      <alignment horizontal="center" vertical="top" wrapText="1"/>
    </xf>
    <xf numFmtId="0" fontId="29" fillId="2" borderId="30" xfId="0" applyFont="1" applyFill="1" applyBorder="1" applyAlignment="1">
      <alignment horizontal="center" vertical="top" wrapText="1"/>
    </xf>
    <xf numFmtId="0" fontId="29" fillId="0" borderId="82" xfId="0" applyFont="1" applyBorder="1" applyAlignment="1">
      <alignment horizontal="center" vertical="top" wrapText="1"/>
    </xf>
    <xf numFmtId="0" fontId="29" fillId="0" borderId="8" xfId="0" applyFont="1" applyBorder="1"/>
    <xf numFmtId="0" fontId="29" fillId="0" borderId="9" xfId="0" applyFont="1" applyBorder="1"/>
    <xf numFmtId="0" fontId="0" fillId="0" borderId="1" xfId="0" applyFont="1" applyBorder="1"/>
    <xf numFmtId="0" fontId="0" fillId="0" borderId="1" xfId="0" applyFont="1" applyFill="1" applyBorder="1"/>
    <xf numFmtId="0" fontId="30" fillId="0" borderId="1" xfId="0" applyFont="1" applyBorder="1"/>
    <xf numFmtId="0" fontId="0" fillId="0" borderId="34" xfId="0" applyFont="1" applyBorder="1"/>
    <xf numFmtId="0" fontId="29" fillId="0" borderId="11" xfId="0" applyFont="1" applyBorder="1"/>
    <xf numFmtId="3" fontId="0" fillId="0" borderId="1" xfId="0" applyNumberFormat="1" applyFont="1" applyBorder="1"/>
    <xf numFmtId="10" fontId="0" fillId="0" borderId="1" xfId="2" applyNumberFormat="1" applyFont="1" applyBorder="1"/>
    <xf numFmtId="165" fontId="0" fillId="0" borderId="1" xfId="0" applyNumberFormat="1" applyFont="1" applyFill="1" applyBorder="1"/>
    <xf numFmtId="165" fontId="0" fillId="0" borderId="1" xfId="0" applyNumberFormat="1" applyFont="1" applyBorder="1"/>
    <xf numFmtId="0" fontId="30" fillId="0" borderId="11" xfId="0" applyFont="1" applyBorder="1"/>
    <xf numFmtId="0" fontId="29" fillId="0" borderId="1" xfId="0" applyFont="1" applyBorder="1"/>
    <xf numFmtId="0" fontId="30" fillId="0" borderId="10" xfId="0" applyFont="1" applyBorder="1"/>
    <xf numFmtId="0" fontId="37" fillId="0" borderId="10" xfId="0" applyFont="1" applyBorder="1"/>
    <xf numFmtId="0" fontId="37" fillId="0" borderId="1" xfId="0" applyFont="1" applyBorder="1"/>
    <xf numFmtId="0" fontId="29" fillId="0" borderId="10" xfId="0" applyFont="1" applyBorder="1" applyAlignment="1">
      <alignment horizontal="right"/>
    </xf>
    <xf numFmtId="10" fontId="2" fillId="0" borderId="1" xfId="0" applyNumberFormat="1" applyFont="1" applyBorder="1"/>
    <xf numFmtId="3" fontId="2" fillId="0" borderId="1" xfId="0" applyNumberFormat="1" applyFont="1" applyFill="1" applyBorder="1"/>
    <xf numFmtId="10" fontId="2" fillId="0" borderId="0" xfId="2" applyNumberFormat="1" applyFont="1"/>
    <xf numFmtId="0" fontId="30" fillId="0" borderId="10" xfId="0" applyFont="1" applyBorder="1" applyAlignment="1">
      <alignment horizontal="right"/>
    </xf>
    <xf numFmtId="10" fontId="0" fillId="0" borderId="1" xfId="0" applyNumberFormat="1" applyFont="1" applyBorder="1"/>
    <xf numFmtId="9" fontId="0" fillId="0" borderId="1" xfId="2" applyFont="1" applyFill="1" applyBorder="1"/>
    <xf numFmtId="0" fontId="30" fillId="0" borderId="1" xfId="0" applyFont="1" applyFill="1" applyBorder="1"/>
    <xf numFmtId="0" fontId="37" fillId="0" borderId="10" xfId="0" applyFont="1" applyFill="1" applyBorder="1"/>
    <xf numFmtId="0" fontId="37" fillId="0" borderId="1" xfId="0" applyFont="1" applyFill="1" applyBorder="1"/>
    <xf numFmtId="10" fontId="37" fillId="0" borderId="1" xfId="2" applyNumberFormat="1" applyFont="1" applyBorder="1"/>
    <xf numFmtId="0" fontId="37" fillId="0" borderId="0" xfId="0" applyFont="1" applyFill="1"/>
    <xf numFmtId="10" fontId="37" fillId="0" borderId="0" xfId="2" applyNumberFormat="1" applyFont="1" applyFill="1"/>
    <xf numFmtId="0" fontId="37" fillId="0" borderId="0" xfId="0" applyFont="1"/>
    <xf numFmtId="10" fontId="37" fillId="0" borderId="0" xfId="2" applyNumberFormat="1" applyFont="1"/>
    <xf numFmtId="0" fontId="37" fillId="0" borderId="10" xfId="0" applyFont="1" applyBorder="1" applyAlignment="1">
      <alignment horizontal="left"/>
    </xf>
    <xf numFmtId="3" fontId="29" fillId="0" borderId="1" xfId="0" applyNumberFormat="1" applyFont="1" applyBorder="1"/>
    <xf numFmtId="0" fontId="0" fillId="0" borderId="10" xfId="0" applyFont="1" applyBorder="1"/>
    <xf numFmtId="170" fontId="29" fillId="0" borderId="1" xfId="0" applyNumberFormat="1" applyFont="1" applyBorder="1"/>
    <xf numFmtId="0" fontId="29" fillId="2" borderId="10" xfId="0" applyFont="1" applyFill="1" applyBorder="1" applyAlignment="1">
      <alignment horizontal="right"/>
    </xf>
    <xf numFmtId="0" fontId="37" fillId="0" borderId="34" xfId="0" applyFont="1" applyBorder="1"/>
    <xf numFmtId="10" fontId="2" fillId="0" borderId="1" xfId="2" applyNumberFormat="1" applyFont="1" applyBorder="1"/>
    <xf numFmtId="10" fontId="2" fillId="0" borderId="34" xfId="2" applyNumberFormat="1" applyFont="1" applyBorder="1"/>
    <xf numFmtId="9" fontId="2" fillId="0" borderId="1" xfId="2" applyFont="1" applyBorder="1"/>
    <xf numFmtId="0" fontId="2" fillId="0" borderId="34" xfId="0" applyFont="1" applyBorder="1"/>
    <xf numFmtId="0" fontId="0" fillId="0" borderId="0" xfId="0" applyFont="1" applyFill="1" applyBorder="1"/>
    <xf numFmtId="0" fontId="30" fillId="0" borderId="0" xfId="0" applyFont="1" applyBorder="1"/>
    <xf numFmtId="0" fontId="0" fillId="0" borderId="31" xfId="0" applyFont="1" applyBorder="1"/>
    <xf numFmtId="164" fontId="0" fillId="0" borderId="0" xfId="1" applyFont="1" applyBorder="1"/>
    <xf numFmtId="164" fontId="0" fillId="0" borderId="0" xfId="0" applyNumberFormat="1" applyFont="1" applyBorder="1"/>
    <xf numFmtId="0" fontId="45" fillId="0" borderId="0" xfId="0" applyFont="1" applyBorder="1"/>
    <xf numFmtId="0" fontId="30" fillId="2" borderId="0" xfId="0" applyFont="1" applyFill="1" applyBorder="1"/>
    <xf numFmtId="0" fontId="30" fillId="0" borderId="8" xfId="0" applyFont="1" applyBorder="1"/>
    <xf numFmtId="0" fontId="29" fillId="0" borderId="2" xfId="0" applyFont="1" applyBorder="1" applyAlignment="1">
      <alignment horizontal="center" vertical="top"/>
    </xf>
    <xf numFmtId="0" fontId="29" fillId="2" borderId="1" xfId="0" applyFont="1" applyFill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/>
    </xf>
    <xf numFmtId="0" fontId="29" fillId="2" borderId="20" xfId="0" applyFont="1" applyFill="1" applyBorder="1" applyAlignment="1">
      <alignment horizontal="center" vertical="top" wrapText="1"/>
    </xf>
    <xf numFmtId="0" fontId="30" fillId="0" borderId="19" xfId="0" applyFont="1" applyBorder="1"/>
    <xf numFmtId="0" fontId="30" fillId="2" borderId="26" xfId="0" applyFont="1" applyFill="1" applyBorder="1"/>
    <xf numFmtId="0" fontId="29" fillId="2" borderId="1" xfId="0" applyFont="1" applyFill="1" applyBorder="1"/>
    <xf numFmtId="0" fontId="30" fillId="0" borderId="13" xfId="0" applyFont="1" applyBorder="1"/>
    <xf numFmtId="0" fontId="30" fillId="0" borderId="32" xfId="0" applyFont="1" applyBorder="1"/>
    <xf numFmtId="0" fontId="29" fillId="2" borderId="14" xfId="0" applyFont="1" applyFill="1" applyBorder="1"/>
    <xf numFmtId="0" fontId="0" fillId="0" borderId="32" xfId="0" applyFont="1" applyBorder="1"/>
    <xf numFmtId="0" fontId="0" fillId="0" borderId="33" xfId="0" applyFont="1" applyBorder="1"/>
    <xf numFmtId="165" fontId="0" fillId="0" borderId="0" xfId="0" applyNumberFormat="1" applyFont="1"/>
    <xf numFmtId="0" fontId="29" fillId="0" borderId="1" xfId="3" applyFont="1" applyBorder="1" applyAlignment="1">
      <alignment horizontal="center"/>
    </xf>
    <xf numFmtId="0" fontId="29" fillId="0" borderId="2" xfId="3" applyFont="1" applyBorder="1" applyAlignment="1">
      <alignment horizontal="center"/>
    </xf>
    <xf numFmtId="0" fontId="1" fillId="0" borderId="0" xfId="0" applyFont="1"/>
    <xf numFmtId="0" fontId="46" fillId="0" borderId="1" xfId="3" applyFont="1" applyBorder="1" applyAlignment="1"/>
    <xf numFmtId="0" fontId="47" fillId="0" borderId="1" xfId="3" applyFont="1" applyBorder="1" applyAlignment="1">
      <alignment horizontal="center" wrapText="1"/>
    </xf>
    <xf numFmtId="0" fontId="47" fillId="0" borderId="1" xfId="3" applyFont="1" applyBorder="1" applyAlignment="1">
      <alignment horizontal="center"/>
    </xf>
    <xf numFmtId="0" fontId="48" fillId="0" borderId="1" xfId="3" applyFont="1" applyBorder="1" applyAlignment="1">
      <alignment horizontal="center"/>
    </xf>
    <xf numFmtId="0" fontId="47" fillId="0" borderId="1" xfId="3" applyFont="1" applyBorder="1" applyAlignment="1"/>
    <xf numFmtId="0" fontId="49" fillId="0" borderId="1" xfId="3" applyFont="1" applyBorder="1" applyAlignment="1">
      <alignment horizontal="center" vertical="center"/>
    </xf>
    <xf numFmtId="0" fontId="46" fillId="0" borderId="1" xfId="3" applyFont="1" applyBorder="1" applyAlignment="1">
      <alignment horizontal="right"/>
    </xf>
    <xf numFmtId="0" fontId="49" fillId="0" borderId="1" xfId="3" applyFont="1" applyBorder="1" applyAlignment="1">
      <alignment horizontal="right"/>
    </xf>
    <xf numFmtId="164" fontId="46" fillId="0" borderId="1" xfId="1" applyFont="1" applyBorder="1" applyAlignment="1">
      <alignment horizontal="right"/>
    </xf>
    <xf numFmtId="165" fontId="1" fillId="0" borderId="4" xfId="4" applyNumberFormat="1" applyFont="1" applyBorder="1" applyAlignment="1">
      <alignment horizontal="right"/>
    </xf>
    <xf numFmtId="43" fontId="1" fillId="0" borderId="4" xfId="4" applyNumberFormat="1" applyFont="1" applyBorder="1" applyAlignment="1">
      <alignment horizontal="right"/>
    </xf>
    <xf numFmtId="170" fontId="46" fillId="0" borderId="1" xfId="1" applyNumberFormat="1" applyFont="1" applyFill="1" applyBorder="1" applyAlignment="1">
      <alignment horizontal="right"/>
    </xf>
    <xf numFmtId="170" fontId="46" fillId="0" borderId="1" xfId="1" applyNumberFormat="1" applyFont="1" applyBorder="1" applyAlignment="1">
      <alignment horizontal="right"/>
    </xf>
    <xf numFmtId="9" fontId="1" fillId="0" borderId="0" xfId="2" applyFont="1"/>
    <xf numFmtId="165" fontId="46" fillId="0" borderId="4" xfId="4" quotePrefix="1" applyNumberFormat="1" applyFont="1" applyFill="1" applyBorder="1" applyAlignment="1">
      <alignment horizontal="right"/>
    </xf>
    <xf numFmtId="165" fontId="46" fillId="0" borderId="4" xfId="4" applyNumberFormat="1" applyFont="1" applyFill="1" applyBorder="1" applyAlignment="1">
      <alignment horizontal="right"/>
    </xf>
    <xf numFmtId="2" fontId="46" fillId="0" borderId="1" xfId="3" applyNumberFormat="1" applyFont="1" applyBorder="1" applyAlignment="1">
      <alignment horizontal="right"/>
    </xf>
    <xf numFmtId="1" fontId="46" fillId="0" borderId="1" xfId="3" applyNumberFormat="1" applyFont="1" applyBorder="1" applyAlignment="1">
      <alignment horizontal="right"/>
    </xf>
    <xf numFmtId="0" fontId="50" fillId="0" borderId="1" xfId="3" applyFont="1" applyBorder="1" applyAlignment="1">
      <alignment horizontal="right"/>
    </xf>
    <xf numFmtId="165" fontId="46" fillId="0" borderId="4" xfId="4" applyNumberFormat="1" applyFont="1" applyBorder="1" applyAlignment="1">
      <alignment horizontal="right"/>
    </xf>
    <xf numFmtId="1" fontId="46" fillId="0" borderId="1" xfId="3" applyNumberFormat="1" applyFont="1" applyFill="1" applyBorder="1" applyAlignment="1">
      <alignment horizontal="right"/>
    </xf>
    <xf numFmtId="0" fontId="49" fillId="0" borderId="21" xfId="3" applyFont="1" applyBorder="1" applyAlignment="1">
      <alignment horizontal="right"/>
    </xf>
    <xf numFmtId="166" fontId="47" fillId="0" borderId="1" xfId="4" applyNumberFormat="1" applyFont="1" applyBorder="1" applyAlignment="1"/>
    <xf numFmtId="2" fontId="47" fillId="0" borderId="1" xfId="3" applyNumberFormat="1" applyFont="1" applyBorder="1" applyAlignment="1">
      <alignment horizontal="center"/>
    </xf>
    <xf numFmtId="1" fontId="47" fillId="0" borderId="1" xfId="3" applyNumberFormat="1" applyFont="1" applyFill="1" applyBorder="1" applyAlignment="1">
      <alignment horizontal="center"/>
    </xf>
    <xf numFmtId="1" fontId="47" fillId="0" borderId="1" xfId="3" applyNumberFormat="1" applyFont="1" applyBorder="1" applyAlignment="1">
      <alignment horizontal="center"/>
    </xf>
    <xf numFmtId="164" fontId="1" fillId="0" borderId="0" xfId="1" applyFont="1"/>
    <xf numFmtId="0" fontId="47" fillId="0" borderId="18" xfId="0" applyFont="1" applyBorder="1"/>
    <xf numFmtId="0" fontId="47" fillId="0" borderId="0" xfId="0" applyFont="1"/>
    <xf numFmtId="0" fontId="34" fillId="0" borderId="0" xfId="0" applyFont="1" applyFill="1"/>
    <xf numFmtId="0" fontId="34" fillId="3" borderId="0" xfId="0" applyFont="1" applyFill="1"/>
    <xf numFmtId="0" fontId="47" fillId="0" borderId="0" xfId="0" applyFont="1" applyBorder="1"/>
    <xf numFmtId="0" fontId="46" fillId="0" borderId="5" xfId="0" applyFont="1" applyBorder="1"/>
    <xf numFmtId="0" fontId="46" fillId="0" borderId="6" xfId="0" applyFont="1" applyBorder="1"/>
    <xf numFmtId="0" fontId="36" fillId="13" borderId="1" xfId="0" applyFont="1" applyFill="1" applyBorder="1" applyAlignment="1">
      <alignment horizontal="center" vertical="center" wrapText="1"/>
    </xf>
    <xf numFmtId="0" fontId="47" fillId="2" borderId="29" xfId="0" applyFont="1" applyFill="1" applyBorder="1" applyAlignment="1">
      <alignment horizontal="center" vertical="top" wrapText="1"/>
    </xf>
    <xf numFmtId="0" fontId="47" fillId="0" borderId="29" xfId="0" applyFont="1" applyFill="1" applyBorder="1" applyAlignment="1">
      <alignment horizontal="center" vertical="top" wrapText="1"/>
    </xf>
    <xf numFmtId="0" fontId="47" fillId="3" borderId="29" xfId="0" applyFont="1" applyFill="1" applyBorder="1" applyAlignment="1">
      <alignment horizontal="center" vertical="top" wrapText="1"/>
    </xf>
    <xf numFmtId="0" fontId="47" fillId="0" borderId="29" xfId="0" applyFont="1" applyBorder="1" applyAlignment="1">
      <alignment horizontal="center" vertical="top" wrapText="1"/>
    </xf>
    <xf numFmtId="43" fontId="47" fillId="2" borderId="29" xfId="4" applyFont="1" applyFill="1" applyBorder="1" applyAlignment="1">
      <alignment horizontal="center" vertical="top" wrapText="1"/>
    </xf>
    <xf numFmtId="0" fontId="47" fillId="0" borderId="82" xfId="0" applyFont="1" applyBorder="1" applyAlignment="1">
      <alignment horizontal="center" vertical="top" wrapText="1"/>
    </xf>
    <xf numFmtId="0" fontId="47" fillId="0" borderId="8" xfId="0" applyFont="1" applyBorder="1"/>
    <xf numFmtId="0" fontId="47" fillId="0" borderId="9" xfId="0" applyFont="1" applyBorder="1"/>
    <xf numFmtId="9" fontId="46" fillId="13" borderId="1" xfId="0" applyNumberFormat="1" applyFont="1" applyFill="1" applyBorder="1"/>
    <xf numFmtId="0" fontId="34" fillId="0" borderId="1" xfId="0" applyFont="1" applyBorder="1"/>
    <xf numFmtId="0" fontId="34" fillId="0" borderId="1" xfId="0" applyFont="1" applyFill="1" applyBorder="1"/>
    <xf numFmtId="0" fontId="34" fillId="3" borderId="1" xfId="0" applyFont="1" applyFill="1" applyBorder="1"/>
    <xf numFmtId="0" fontId="47" fillId="0" borderId="11" xfId="0" applyFont="1" applyBorder="1"/>
    <xf numFmtId="0" fontId="46" fillId="0" borderId="9" xfId="0" applyFont="1" applyBorder="1"/>
    <xf numFmtId="3" fontId="34" fillId="0" borderId="1" xfId="0" applyNumberFormat="1" applyFont="1" applyBorder="1"/>
    <xf numFmtId="10" fontId="34" fillId="0" borderId="1" xfId="2" applyNumberFormat="1" applyFont="1" applyBorder="1"/>
    <xf numFmtId="170" fontId="34" fillId="0" borderId="1" xfId="1" applyNumberFormat="1" applyFont="1" applyFill="1" applyBorder="1"/>
    <xf numFmtId="170" fontId="34" fillId="3" borderId="1" xfId="1" applyNumberFormat="1" applyFont="1" applyFill="1" applyBorder="1"/>
    <xf numFmtId="170" fontId="34" fillId="0" borderId="1" xfId="1" applyNumberFormat="1" applyFont="1" applyBorder="1"/>
    <xf numFmtId="0" fontId="46" fillId="0" borderId="11" xfId="0" applyFont="1" applyBorder="1"/>
    <xf numFmtId="0" fontId="47" fillId="0" borderId="1" xfId="0" applyFont="1" applyBorder="1"/>
    <xf numFmtId="0" fontId="46" fillId="0" borderId="10" xfId="0" applyFont="1" applyBorder="1"/>
    <xf numFmtId="0" fontId="46" fillId="0" borderId="1" xfId="0" applyFont="1" applyBorder="1"/>
    <xf numFmtId="10" fontId="34" fillId="0" borderId="0" xfId="2" applyNumberFormat="1" applyFont="1"/>
    <xf numFmtId="0" fontId="47" fillId="0" borderId="10" xfId="0" applyFont="1" applyBorder="1" applyAlignment="1">
      <alignment horizontal="right"/>
    </xf>
    <xf numFmtId="0" fontId="47" fillId="13" borderId="1" xfId="0" applyFont="1" applyFill="1" applyBorder="1"/>
    <xf numFmtId="3" fontId="36" fillId="0" borderId="1" xfId="0" applyNumberFormat="1" applyFont="1" applyBorder="1"/>
    <xf numFmtId="10" fontId="36" fillId="0" borderId="1" xfId="0" applyNumberFormat="1" applyFont="1" applyBorder="1"/>
    <xf numFmtId="3" fontId="36" fillId="0" borderId="1" xfId="0" applyNumberFormat="1" applyFont="1" applyFill="1" applyBorder="1"/>
    <xf numFmtId="3" fontId="36" fillId="3" borderId="1" xfId="0" applyNumberFormat="1" applyFont="1" applyFill="1" applyBorder="1"/>
    <xf numFmtId="0" fontId="36" fillId="0" borderId="0" xfId="0" applyFont="1"/>
    <xf numFmtId="10" fontId="36" fillId="0" borderId="0" xfId="2" applyNumberFormat="1" applyFont="1"/>
    <xf numFmtId="0" fontId="46" fillId="0" borderId="10" xfId="0" applyFont="1" applyBorder="1" applyAlignment="1">
      <alignment horizontal="right"/>
    </xf>
    <xf numFmtId="0" fontId="46" fillId="13" borderId="1" xfId="0" applyFont="1" applyFill="1" applyBorder="1"/>
    <xf numFmtId="3" fontId="34" fillId="0" borderId="1" xfId="0" applyNumberFormat="1" applyFont="1" applyFill="1" applyBorder="1"/>
    <xf numFmtId="0" fontId="34" fillId="0" borderId="10" xfId="0" applyFont="1" applyBorder="1"/>
    <xf numFmtId="0" fontId="34" fillId="13" borderId="1" xfId="0" applyFont="1" applyFill="1" applyBorder="1"/>
    <xf numFmtId="170" fontId="36" fillId="3" borderId="1" xfId="0" applyNumberFormat="1" applyFont="1" applyFill="1" applyBorder="1"/>
    <xf numFmtId="170" fontId="36" fillId="0" borderId="1" xfId="0" applyNumberFormat="1" applyFont="1" applyBorder="1"/>
    <xf numFmtId="0" fontId="47" fillId="2" borderId="10" xfId="0" applyFont="1" applyFill="1" applyBorder="1" applyAlignment="1">
      <alignment horizontal="right"/>
    </xf>
    <xf numFmtId="0" fontId="47" fillId="0" borderId="1" xfId="0" applyFont="1" applyFill="1" applyBorder="1"/>
    <xf numFmtId="0" fontId="36" fillId="13" borderId="1" xfId="0" applyFont="1" applyFill="1" applyBorder="1"/>
    <xf numFmtId="10" fontId="36" fillId="0" borderId="1" xfId="2" applyNumberFormat="1" applyFont="1" applyBorder="1"/>
    <xf numFmtId="9" fontId="36" fillId="0" borderId="1" xfId="2" applyFont="1" applyBorder="1"/>
    <xf numFmtId="170" fontId="36" fillId="3" borderId="1" xfId="1" applyNumberFormat="1" applyFont="1" applyFill="1" applyBorder="1"/>
    <xf numFmtId="9" fontId="34" fillId="13" borderId="1" xfId="0" applyNumberFormat="1" applyFont="1" applyFill="1" applyBorder="1"/>
    <xf numFmtId="3" fontId="34" fillId="3" borderId="1" xfId="0" applyNumberFormat="1" applyFont="1" applyFill="1" applyBorder="1"/>
    <xf numFmtId="0" fontId="34" fillId="0" borderId="0" xfId="0" applyFont="1" applyBorder="1"/>
    <xf numFmtId="0" fontId="34" fillId="0" borderId="0" xfId="0" applyFont="1" applyFill="1" applyBorder="1"/>
    <xf numFmtId="0" fontId="34" fillId="3" borderId="0" xfId="0" applyFont="1" applyFill="1" applyBorder="1"/>
    <xf numFmtId="0" fontId="50" fillId="0" borderId="0" xfId="0" applyFont="1" applyBorder="1"/>
    <xf numFmtId="0" fontId="46" fillId="0" borderId="0" xfId="0" applyFont="1" applyBorder="1"/>
    <xf numFmtId="0" fontId="46" fillId="0" borderId="0" xfId="0" applyFont="1" applyFill="1" applyBorder="1"/>
    <xf numFmtId="0" fontId="46" fillId="2" borderId="0" xfId="0" applyFont="1" applyFill="1" applyBorder="1"/>
    <xf numFmtId="0" fontId="46" fillId="0" borderId="8" xfId="0" applyFont="1" applyBorder="1"/>
    <xf numFmtId="0" fontId="46" fillId="0" borderId="3" xfId="0" applyFont="1" applyBorder="1"/>
    <xf numFmtId="0" fontId="47" fillId="0" borderId="2" xfId="0" applyFont="1" applyBorder="1" applyAlignment="1">
      <alignment horizontal="center" vertical="top"/>
    </xf>
    <xf numFmtId="0" fontId="47" fillId="0" borderId="3" xfId="0" applyFont="1" applyBorder="1" applyAlignment="1">
      <alignment horizontal="center" vertical="top"/>
    </xf>
    <xf numFmtId="0" fontId="47" fillId="0" borderId="1" xfId="0" applyFont="1" applyBorder="1" applyAlignment="1">
      <alignment horizontal="center" vertical="top" wrapText="1"/>
    </xf>
    <xf numFmtId="0" fontId="47" fillId="0" borderId="1" xfId="0" applyFont="1" applyFill="1" applyBorder="1" applyAlignment="1">
      <alignment horizontal="center" vertical="top" wrapText="1"/>
    </xf>
    <xf numFmtId="0" fontId="47" fillId="2" borderId="1" xfId="0" applyFont="1" applyFill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top"/>
    </xf>
    <xf numFmtId="0" fontId="47" fillId="0" borderId="24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 wrapText="1"/>
    </xf>
    <xf numFmtId="0" fontId="47" fillId="0" borderId="24" xfId="0" applyFont="1" applyFill="1" applyBorder="1" applyAlignment="1">
      <alignment horizontal="center" vertical="top" wrapText="1"/>
    </xf>
    <xf numFmtId="0" fontId="47" fillId="2" borderId="20" xfId="0" applyFont="1" applyFill="1" applyBorder="1" applyAlignment="1">
      <alignment horizontal="center" vertical="top" wrapText="1"/>
    </xf>
    <xf numFmtId="0" fontId="46" fillId="0" borderId="19" xfId="0" applyFont="1" applyBorder="1"/>
    <xf numFmtId="0" fontId="46" fillId="0" borderId="7" xfId="0" applyFont="1" applyBorder="1"/>
    <xf numFmtId="0" fontId="46" fillId="0" borderId="25" xfId="0" applyFont="1" applyBorder="1"/>
    <xf numFmtId="0" fontId="46" fillId="0" borderId="26" xfId="0" applyFont="1" applyBorder="1"/>
    <xf numFmtId="0" fontId="46" fillId="0" borderId="25" xfId="0" applyFont="1" applyFill="1" applyBorder="1"/>
    <xf numFmtId="0" fontId="46" fillId="2" borderId="26" xfId="0" applyFont="1" applyFill="1" applyBorder="1"/>
    <xf numFmtId="0" fontId="47" fillId="2" borderId="1" xfId="0" applyFont="1" applyFill="1" applyBorder="1"/>
    <xf numFmtId="0" fontId="46" fillId="0" borderId="13" xfId="0" applyFont="1" applyBorder="1"/>
    <xf numFmtId="0" fontId="46" fillId="0" borderId="32" xfId="0" applyFont="1" applyBorder="1"/>
    <xf numFmtId="0" fontId="47" fillId="0" borderId="14" xfId="0" applyFont="1" applyBorder="1"/>
    <xf numFmtId="0" fontId="47" fillId="0" borderId="14" xfId="0" applyFont="1" applyFill="1" applyBorder="1"/>
    <xf numFmtId="0" fontId="47" fillId="2" borderId="14" xfId="0" applyFont="1" applyFill="1" applyBorder="1"/>
    <xf numFmtId="0" fontId="34" fillId="3" borderId="32" xfId="0" applyFont="1" applyFill="1" applyBorder="1"/>
    <xf numFmtId="0" fontId="34" fillId="0" borderId="32" xfId="0" applyFont="1" applyBorder="1"/>
    <xf numFmtId="0" fontId="46" fillId="0" borderId="1" xfId="0" applyFont="1" applyFill="1" applyBorder="1"/>
    <xf numFmtId="3" fontId="34" fillId="0" borderId="0" xfId="0" applyNumberFormat="1" applyFont="1"/>
    <xf numFmtId="0" fontId="29" fillId="0" borderId="5" xfId="3" applyFont="1" applyBorder="1" applyAlignment="1">
      <alignment horizontal="left" vertical="center"/>
    </xf>
    <xf numFmtId="0" fontId="46" fillId="0" borderId="6" xfId="3" applyFont="1" applyBorder="1">
      <alignment vertical="center"/>
    </xf>
    <xf numFmtId="0" fontId="46" fillId="2" borderId="6" xfId="3" applyFont="1" applyFill="1" applyBorder="1">
      <alignment vertical="center"/>
    </xf>
    <xf numFmtId="0" fontId="51" fillId="0" borderId="6" xfId="3" applyFont="1" applyBorder="1" applyAlignment="1"/>
    <xf numFmtId="0" fontId="51" fillId="0" borderId="0" xfId="3" applyFont="1" applyAlignment="1"/>
    <xf numFmtId="0" fontId="52" fillId="0" borderId="10" xfId="3" applyFont="1" applyBorder="1" applyAlignment="1">
      <alignment horizontal="left" vertical="center"/>
    </xf>
    <xf numFmtId="0" fontId="46" fillId="0" borderId="0" xfId="3" applyFont="1">
      <alignment vertical="center"/>
    </xf>
    <xf numFmtId="0" fontId="47" fillId="0" borderId="7" xfId="3" applyFont="1" applyBorder="1">
      <alignment vertical="center"/>
    </xf>
    <xf numFmtId="0" fontId="46" fillId="0" borderId="7" xfId="3" applyFont="1" applyBorder="1">
      <alignment vertical="center"/>
    </xf>
    <xf numFmtId="0" fontId="46" fillId="2" borderId="7" xfId="3" applyFont="1" applyFill="1" applyBorder="1">
      <alignment vertical="center"/>
    </xf>
    <xf numFmtId="0" fontId="47" fillId="0" borderId="7" xfId="3" applyFont="1" applyBorder="1" applyAlignment="1"/>
    <xf numFmtId="0" fontId="46" fillId="2" borderId="32" xfId="3" applyFont="1" applyFill="1" applyBorder="1">
      <alignment vertical="center"/>
    </xf>
    <xf numFmtId="0" fontId="46" fillId="0" borderId="32" xfId="3" applyFont="1" applyBorder="1">
      <alignment vertical="center"/>
    </xf>
    <xf numFmtId="0" fontId="51" fillId="0" borderId="32" xfId="3" applyFont="1" applyBorder="1" applyAlignment="1"/>
    <xf numFmtId="0" fontId="46" fillId="0" borderId="5" xfId="3" applyFont="1" applyBorder="1">
      <alignment vertical="center"/>
    </xf>
    <xf numFmtId="0" fontId="29" fillId="0" borderId="6" xfId="3" applyFont="1" applyBorder="1">
      <alignment vertical="center"/>
    </xf>
    <xf numFmtId="0" fontId="46" fillId="0" borderId="36" xfId="3" applyFont="1" applyBorder="1">
      <alignment vertical="center"/>
    </xf>
    <xf numFmtId="0" fontId="47" fillId="0" borderId="49" xfId="3" applyFont="1" applyBorder="1" applyAlignment="1">
      <alignment horizontal="center" vertical="center"/>
    </xf>
    <xf numFmtId="0" fontId="47" fillId="2" borderId="16" xfId="3" applyFont="1" applyFill="1" applyBorder="1" applyAlignment="1">
      <alignment horizontal="center" vertical="center"/>
    </xf>
    <xf numFmtId="0" fontId="47" fillId="0" borderId="15" xfId="3" applyFont="1" applyBorder="1" applyAlignment="1">
      <alignment horizontal="center" vertical="center"/>
    </xf>
    <xf numFmtId="0" fontId="46" fillId="0" borderId="0" xfId="3" applyFont="1" applyAlignment="1"/>
    <xf numFmtId="0" fontId="47" fillId="0" borderId="10" xfId="3" applyFont="1" applyBorder="1">
      <alignment vertical="center"/>
    </xf>
    <xf numFmtId="0" fontId="47" fillId="0" borderId="0" xfId="3" applyFont="1">
      <alignment vertical="center"/>
    </xf>
    <xf numFmtId="0" fontId="47" fillId="0" borderId="31" xfId="3" applyFont="1" applyBorder="1">
      <alignment vertical="center"/>
    </xf>
    <xf numFmtId="0" fontId="47" fillId="0" borderId="10" xfId="3" applyFont="1" applyBorder="1" applyAlignment="1">
      <alignment horizontal="center" vertical="center" wrapText="1"/>
    </xf>
    <xf numFmtId="0" fontId="47" fillId="2" borderId="24" xfId="3" applyFont="1" applyFill="1" applyBorder="1" applyAlignment="1">
      <alignment horizontal="center" vertical="center"/>
    </xf>
    <xf numFmtId="0" fontId="47" fillId="0" borderId="21" xfId="3" applyFont="1" applyBorder="1" applyAlignment="1">
      <alignment horizontal="center" vertical="center"/>
    </xf>
    <xf numFmtId="0" fontId="47" fillId="0" borderId="0" xfId="3" applyFont="1" applyAlignment="1"/>
    <xf numFmtId="0" fontId="46" fillId="0" borderId="10" xfId="3" applyFont="1" applyBorder="1">
      <alignment vertical="center"/>
    </xf>
    <xf numFmtId="0" fontId="29" fillId="0" borderId="0" xfId="3" applyFont="1">
      <alignment vertical="center"/>
    </xf>
    <xf numFmtId="0" fontId="47" fillId="0" borderId="13" xfId="3" applyFont="1" applyBorder="1" applyAlignment="1">
      <alignment horizontal="center" vertical="center"/>
    </xf>
    <xf numFmtId="0" fontId="47" fillId="4" borderId="58" xfId="3" applyFont="1" applyFill="1" applyBorder="1">
      <alignment vertical="center"/>
    </xf>
    <xf numFmtId="0" fontId="47" fillId="4" borderId="59" xfId="3" applyFont="1" applyFill="1" applyBorder="1">
      <alignment vertical="center"/>
    </xf>
    <xf numFmtId="0" fontId="46" fillId="4" borderId="59" xfId="3" applyFont="1" applyFill="1" applyBorder="1">
      <alignment vertical="center"/>
    </xf>
    <xf numFmtId="0" fontId="47" fillId="4" borderId="30" xfId="3" applyFont="1" applyFill="1" applyBorder="1" applyAlignment="1">
      <alignment horizontal="center" vertical="center"/>
    </xf>
    <xf numFmtId="0" fontId="46" fillId="4" borderId="58" xfId="3" applyFont="1" applyFill="1" applyBorder="1">
      <alignment vertical="center"/>
    </xf>
    <xf numFmtId="0" fontId="46" fillId="4" borderId="30" xfId="3" applyFont="1" applyFill="1" applyBorder="1">
      <alignment vertical="center"/>
    </xf>
    <xf numFmtId="0" fontId="46" fillId="4" borderId="28" xfId="3" applyFont="1" applyFill="1" applyBorder="1">
      <alignment vertical="center"/>
    </xf>
    <xf numFmtId="0" fontId="53" fillId="0" borderId="0" xfId="3" applyFont="1" applyAlignment="1">
      <alignment horizontal="center" vertical="center"/>
    </xf>
    <xf numFmtId="0" fontId="53" fillId="0" borderId="0" xfId="3" applyFont="1">
      <alignment vertical="center"/>
    </xf>
    <xf numFmtId="0" fontId="48" fillId="0" borderId="0" xfId="3" applyFont="1">
      <alignment vertical="center"/>
    </xf>
    <xf numFmtId="0" fontId="48" fillId="0" borderId="54" xfId="3" applyFont="1" applyBorder="1" applyAlignment="1">
      <alignment horizontal="center" vertical="center"/>
    </xf>
    <xf numFmtId="0" fontId="30" fillId="10" borderId="8" xfId="3" applyFont="1" applyFill="1" applyBorder="1" applyAlignment="1">
      <alignment horizontal="center" vertical="center"/>
    </xf>
    <xf numFmtId="0" fontId="30" fillId="2" borderId="3" xfId="3" applyFont="1" applyFill="1" applyBorder="1" applyAlignment="1">
      <alignment horizontal="center" vertical="center"/>
    </xf>
    <xf numFmtId="0" fontId="30" fillId="0" borderId="1" xfId="3" applyFont="1" applyBorder="1" applyAlignment="1">
      <alignment horizontal="center" vertical="center"/>
    </xf>
    <xf numFmtId="0" fontId="48" fillId="0" borderId="0" xfId="3" applyFont="1" applyAlignment="1">
      <alignment horizontal="center" vertical="center"/>
    </xf>
    <xf numFmtId="0" fontId="48" fillId="0" borderId="2" xfId="3" applyFont="1" applyBorder="1">
      <alignment vertical="center"/>
    </xf>
    <xf numFmtId="0" fontId="48" fillId="0" borderId="9" xfId="3" applyFont="1" applyBorder="1">
      <alignment vertical="center"/>
    </xf>
    <xf numFmtId="0" fontId="48" fillId="0" borderId="34" xfId="3" applyFont="1" applyBorder="1" applyAlignment="1">
      <alignment horizontal="center" vertical="center"/>
    </xf>
    <xf numFmtId="9" fontId="30" fillId="10" borderId="95" xfId="3" applyNumberFormat="1" applyFont="1" applyFill="1" applyBorder="1" applyAlignment="1">
      <alignment horizontal="center" vertical="center"/>
    </xf>
    <xf numFmtId="9" fontId="30" fillId="2" borderId="3" xfId="3" applyNumberFormat="1" applyFont="1" applyFill="1" applyBorder="1" applyAlignment="1">
      <alignment horizontal="center" vertical="center"/>
    </xf>
    <xf numFmtId="0" fontId="54" fillId="0" borderId="10" xfId="3" applyFont="1" applyBorder="1">
      <alignment vertical="center"/>
    </xf>
    <xf numFmtId="0" fontId="55" fillId="0" borderId="0" xfId="3" applyFont="1" applyAlignment="1">
      <alignment horizontal="center" vertical="center"/>
    </xf>
    <xf numFmtId="0" fontId="55" fillId="0" borderId="2" xfId="3" applyFont="1" applyBorder="1">
      <alignment vertical="center"/>
    </xf>
    <xf numFmtId="0" fontId="55" fillId="0" borderId="9" xfId="3" applyFont="1" applyBorder="1">
      <alignment vertical="center"/>
    </xf>
    <xf numFmtId="0" fontId="55" fillId="0" borderId="34" xfId="3" applyFont="1" applyBorder="1" applyAlignment="1">
      <alignment horizontal="center" vertical="center"/>
    </xf>
    <xf numFmtId="9" fontId="56" fillId="10" borderId="95" xfId="3" applyNumberFormat="1" applyFont="1" applyFill="1" applyBorder="1" applyAlignment="1">
      <alignment horizontal="center" vertical="center"/>
    </xf>
    <xf numFmtId="9" fontId="56" fillId="2" borderId="95" xfId="3" applyNumberFormat="1" applyFont="1" applyFill="1" applyBorder="1" applyAlignment="1">
      <alignment horizontal="center" vertical="center"/>
    </xf>
    <xf numFmtId="0" fontId="54" fillId="0" borderId="0" xfId="3" applyFont="1" applyAlignment="1"/>
    <xf numFmtId="0" fontId="30" fillId="10" borderId="95" xfId="3" applyFont="1" applyFill="1" applyBorder="1" applyAlignment="1">
      <alignment horizontal="center" vertical="center"/>
    </xf>
    <xf numFmtId="0" fontId="53" fillId="0" borderId="2" xfId="3" applyFont="1" applyBorder="1">
      <alignment vertical="center"/>
    </xf>
    <xf numFmtId="0" fontId="53" fillId="0" borderId="9" xfId="3" applyFont="1" applyBorder="1">
      <alignment vertical="center"/>
    </xf>
    <xf numFmtId="0" fontId="57" fillId="0" borderId="0" xfId="3" applyFont="1" applyAlignment="1">
      <alignment horizontal="center" vertical="center"/>
    </xf>
    <xf numFmtId="0" fontId="55" fillId="0" borderId="0" xfId="3" applyFont="1">
      <alignment vertical="center"/>
    </xf>
    <xf numFmtId="0" fontId="55" fillId="0" borderId="54" xfId="3" applyFont="1" applyBorder="1" applyAlignment="1">
      <alignment horizontal="center" vertical="center"/>
    </xf>
    <xf numFmtId="0" fontId="56" fillId="10" borderId="95" xfId="3" applyFont="1" applyFill="1" applyBorder="1" applyAlignment="1">
      <alignment horizontal="center" vertical="center"/>
    </xf>
    <xf numFmtId="9" fontId="30" fillId="0" borderId="1" xfId="3" applyNumberFormat="1" applyFont="1" applyBorder="1" applyAlignment="1">
      <alignment horizontal="center" vertical="center"/>
    </xf>
    <xf numFmtId="0" fontId="30" fillId="10" borderId="77" xfId="3" applyFont="1" applyFill="1" applyBorder="1" applyAlignment="1">
      <alignment horizontal="center" vertical="center"/>
    </xf>
    <xf numFmtId="0" fontId="30" fillId="2" borderId="35" xfId="3" applyFont="1" applyFill="1" applyBorder="1" applyAlignment="1">
      <alignment horizontal="center" vertical="center"/>
    </xf>
    <xf numFmtId="0" fontId="30" fillId="0" borderId="20" xfId="3" applyFont="1" applyBorder="1" applyAlignment="1">
      <alignment horizontal="center" vertical="center"/>
    </xf>
    <xf numFmtId="0" fontId="30" fillId="10" borderId="96" xfId="3" applyFont="1" applyFill="1" applyBorder="1" applyAlignment="1">
      <alignment horizontal="center" vertical="center"/>
    </xf>
    <xf numFmtId="0" fontId="30" fillId="2" borderId="25" xfId="3" applyFont="1" applyFill="1" applyBorder="1" applyAlignment="1">
      <alignment horizontal="center" vertical="center"/>
    </xf>
    <xf numFmtId="0" fontId="30" fillId="0" borderId="26" xfId="3" applyFont="1" applyBorder="1" applyAlignment="1">
      <alignment horizontal="center" vertical="center"/>
    </xf>
    <xf numFmtId="16" fontId="30" fillId="10" borderId="95" xfId="3" applyNumberFormat="1" applyFont="1" applyFill="1" applyBorder="1" applyAlignment="1">
      <alignment horizontal="center" vertical="center"/>
    </xf>
    <xf numFmtId="0" fontId="46" fillId="2" borderId="1" xfId="3" applyFont="1" applyFill="1" applyBorder="1" applyAlignment="1">
      <alignment horizontal="center"/>
    </xf>
    <xf numFmtId="0" fontId="46" fillId="0" borderId="1" xfId="3" applyFont="1" applyBorder="1" applyAlignment="1">
      <alignment horizontal="center"/>
    </xf>
    <xf numFmtId="0" fontId="46" fillId="11" borderId="10" xfId="3" applyFont="1" applyFill="1" applyBorder="1">
      <alignment vertical="center"/>
    </xf>
    <xf numFmtId="0" fontId="53" fillId="11" borderId="0" xfId="3" applyFont="1" applyFill="1" applyAlignment="1">
      <alignment horizontal="center" vertical="center"/>
    </xf>
    <xf numFmtId="0" fontId="53" fillId="11" borderId="2" xfId="3" applyFont="1" applyFill="1" applyBorder="1">
      <alignment vertical="center"/>
    </xf>
    <xf numFmtId="0" fontId="53" fillId="11" borderId="9" xfId="3" applyFont="1" applyFill="1" applyBorder="1">
      <alignment vertical="center"/>
    </xf>
    <xf numFmtId="0" fontId="48" fillId="11" borderId="34" xfId="3" applyFont="1" applyFill="1" applyBorder="1" applyAlignment="1">
      <alignment horizontal="center" vertical="center"/>
    </xf>
    <xf numFmtId="0" fontId="30" fillId="11" borderId="95" xfId="3" applyFont="1" applyFill="1" applyBorder="1" applyAlignment="1">
      <alignment horizontal="center" vertical="center"/>
    </xf>
    <xf numFmtId="0" fontId="30" fillId="11" borderId="1" xfId="3" applyFont="1" applyFill="1" applyBorder="1" applyAlignment="1">
      <alignment horizontal="center" vertical="center"/>
    </xf>
    <xf numFmtId="0" fontId="46" fillId="11" borderId="0" xfId="3" applyFont="1" applyFill="1" applyAlignment="1"/>
    <xf numFmtId="0" fontId="46" fillId="0" borderId="13" xfId="3" applyFont="1" applyBorder="1">
      <alignment vertical="center"/>
    </xf>
    <xf numFmtId="0" fontId="48" fillId="0" borderId="32" xfId="3" applyFont="1" applyBorder="1">
      <alignment vertical="center"/>
    </xf>
    <xf numFmtId="0" fontId="48" fillId="0" borderId="57" xfId="3" applyFont="1" applyBorder="1" applyAlignment="1">
      <alignment horizontal="center" vertical="center"/>
    </xf>
    <xf numFmtId="0" fontId="30" fillId="0" borderId="77" xfId="3" applyFont="1" applyBorder="1" applyAlignment="1">
      <alignment horizontal="center" vertical="center"/>
    </xf>
    <xf numFmtId="0" fontId="30" fillId="4" borderId="97" xfId="3" applyFont="1" applyFill="1" applyBorder="1" applyAlignment="1">
      <alignment horizontal="center" vertical="center"/>
    </xf>
    <xf numFmtId="0" fontId="30" fillId="2" borderId="98" xfId="3" applyFont="1" applyFill="1" applyBorder="1" applyAlignment="1">
      <alignment horizontal="center" vertical="center"/>
    </xf>
    <xf numFmtId="0" fontId="30" fillId="4" borderId="28" xfId="3" applyFont="1" applyFill="1" applyBorder="1" applyAlignment="1">
      <alignment horizontal="center" vertical="center"/>
    </xf>
    <xf numFmtId="0" fontId="48" fillId="0" borderId="99" xfId="3" applyFont="1" applyBorder="1" applyAlignment="1">
      <alignment horizontal="center" vertical="center"/>
    </xf>
    <xf numFmtId="0" fontId="30" fillId="0" borderId="95" xfId="3" applyFont="1" applyBorder="1" applyAlignment="1">
      <alignment horizontal="center" vertical="center"/>
    </xf>
    <xf numFmtId="1" fontId="53" fillId="0" borderId="0" xfId="3" applyNumberFormat="1" applyFont="1">
      <alignment vertical="center"/>
    </xf>
    <xf numFmtId="9" fontId="30" fillId="10" borderId="95" xfId="2" applyFont="1" applyFill="1" applyBorder="1" applyAlignment="1">
      <alignment horizontal="center" vertical="center"/>
    </xf>
    <xf numFmtId="9" fontId="30" fillId="2" borderId="3" xfId="2" applyFont="1" applyFill="1" applyBorder="1" applyAlignment="1">
      <alignment horizontal="center" vertical="center"/>
    </xf>
    <xf numFmtId="0" fontId="53" fillId="0" borderId="22" xfId="3" applyFont="1" applyBorder="1">
      <alignment vertical="center"/>
    </xf>
    <xf numFmtId="0" fontId="53" fillId="0" borderId="23" xfId="3" applyFont="1" applyBorder="1">
      <alignment vertical="center"/>
    </xf>
    <xf numFmtId="0" fontId="53" fillId="0" borderId="35" xfId="3" applyFont="1" applyBorder="1">
      <alignment vertical="center"/>
    </xf>
    <xf numFmtId="0" fontId="48" fillId="0" borderId="61" xfId="3" applyFont="1" applyBorder="1" applyAlignment="1">
      <alignment horizontal="center" vertical="center"/>
    </xf>
    <xf numFmtId="0" fontId="42" fillId="0" borderId="19" xfId="3" applyFont="1" applyBorder="1">
      <alignment vertical="center"/>
    </xf>
    <xf numFmtId="0" fontId="42" fillId="0" borderId="7" xfId="3" applyFont="1" applyBorder="1">
      <alignment vertical="center"/>
    </xf>
    <xf numFmtId="168" fontId="30" fillId="10" borderId="96" xfId="3" applyNumberFormat="1" applyFont="1" applyFill="1" applyBorder="1" applyAlignment="1">
      <alignment horizontal="center" vertical="center"/>
    </xf>
    <xf numFmtId="168" fontId="30" fillId="2" borderId="26" xfId="3" applyNumberFormat="1" applyFont="1" applyFill="1" applyBorder="1" applyAlignment="1">
      <alignment horizontal="center" vertical="center"/>
    </xf>
    <xf numFmtId="168" fontId="30" fillId="0" borderId="26" xfId="3" applyNumberFormat="1" applyFont="1" applyBorder="1" applyAlignment="1">
      <alignment horizontal="center" vertical="center"/>
    </xf>
    <xf numFmtId="1" fontId="30" fillId="10" borderId="96" xfId="3" applyNumberFormat="1" applyFont="1" applyFill="1" applyBorder="1" applyAlignment="1">
      <alignment horizontal="center" vertical="center"/>
    </xf>
    <xf numFmtId="1" fontId="29" fillId="2" borderId="26" xfId="3" applyNumberFormat="1" applyFont="1" applyFill="1" applyBorder="1" applyAlignment="1">
      <alignment horizontal="center" vertical="center"/>
    </xf>
    <xf numFmtId="1" fontId="29" fillId="0" borderId="26" xfId="3" applyNumberFormat="1" applyFont="1" applyBorder="1" applyAlignment="1">
      <alignment horizontal="center" vertical="center"/>
    </xf>
    <xf numFmtId="168" fontId="30" fillId="10" borderId="95" xfId="3" applyNumberFormat="1" applyFont="1" applyFill="1" applyBorder="1" applyAlignment="1">
      <alignment horizontal="center" vertical="center"/>
    </xf>
    <xf numFmtId="169" fontId="30" fillId="2" borderId="3" xfId="3" applyNumberFormat="1" applyFont="1" applyFill="1" applyBorder="1" applyAlignment="1">
      <alignment horizontal="center" vertical="center"/>
    </xf>
    <xf numFmtId="169" fontId="30" fillId="0" borderId="3" xfId="3" applyNumberFormat="1" applyFont="1" applyBorder="1" applyAlignment="1">
      <alignment horizontal="center" vertical="center"/>
    </xf>
    <xf numFmtId="0" fontId="46" fillId="0" borderId="61" xfId="3" applyFont="1" applyBorder="1" applyAlignment="1">
      <alignment horizontal="center" vertical="center"/>
    </xf>
    <xf numFmtId="2" fontId="59" fillId="2" borderId="1" xfId="3" applyNumberFormat="1" applyFont="1" applyFill="1" applyBorder="1" applyAlignment="1">
      <alignment horizontal="center" vertical="center"/>
    </xf>
    <xf numFmtId="2" fontId="59" fillId="0" borderId="1" xfId="3" applyNumberFormat="1" applyFont="1" applyBorder="1" applyAlignment="1">
      <alignment horizontal="center" vertical="center"/>
    </xf>
    <xf numFmtId="0" fontId="48" fillId="0" borderId="19" xfId="3" applyFont="1" applyBorder="1">
      <alignment vertical="center"/>
    </xf>
    <xf numFmtId="0" fontId="48" fillId="0" borderId="7" xfId="3" applyFont="1" applyBorder="1">
      <alignment vertical="center"/>
    </xf>
    <xf numFmtId="2" fontId="30" fillId="2" borderId="25" xfId="3" applyNumberFormat="1" applyFont="1" applyFill="1" applyBorder="1" applyAlignment="1">
      <alignment horizontal="center" vertical="center"/>
    </xf>
    <xf numFmtId="2" fontId="30" fillId="0" borderId="25" xfId="3" applyNumberFormat="1" applyFont="1" applyBorder="1" applyAlignment="1">
      <alignment horizontal="center" vertical="center"/>
    </xf>
    <xf numFmtId="2" fontId="30" fillId="2" borderId="3" xfId="3" applyNumberFormat="1" applyFont="1" applyFill="1" applyBorder="1" applyAlignment="1">
      <alignment horizontal="center" vertical="center"/>
    </xf>
    <xf numFmtId="2" fontId="30" fillId="0" borderId="1" xfId="3" applyNumberFormat="1" applyFont="1" applyBorder="1" applyAlignment="1">
      <alignment horizontal="center" vertical="center"/>
    </xf>
    <xf numFmtId="2" fontId="30" fillId="0" borderId="3" xfId="3" applyNumberFormat="1" applyFont="1" applyBorder="1" applyAlignment="1">
      <alignment horizontal="center" vertical="center"/>
    </xf>
    <xf numFmtId="168" fontId="30" fillId="10" borderId="76" xfId="3" applyNumberFormat="1" applyFont="1" applyFill="1" applyBorder="1" applyAlignment="1">
      <alignment horizontal="center" vertical="center"/>
    </xf>
    <xf numFmtId="2" fontId="30" fillId="2" borderId="24" xfId="3" applyNumberFormat="1" applyFont="1" applyFill="1" applyBorder="1" applyAlignment="1">
      <alignment horizontal="center" vertical="center"/>
    </xf>
    <xf numFmtId="2" fontId="30" fillId="0" borderId="21" xfId="3" applyNumberFormat="1" applyFont="1" applyBorder="1" applyAlignment="1">
      <alignment horizontal="center" vertical="center"/>
    </xf>
    <xf numFmtId="0" fontId="48" fillId="0" borderId="23" xfId="3" applyFont="1" applyBorder="1">
      <alignment vertical="center"/>
    </xf>
    <xf numFmtId="2" fontId="30" fillId="10" borderId="96" xfId="3" applyNumberFormat="1" applyFont="1" applyFill="1" applyBorder="1" applyAlignment="1">
      <alignment horizontal="center" vertical="center"/>
    </xf>
    <xf numFmtId="43" fontId="59" fillId="2" borderId="26" xfId="3" applyNumberFormat="1" applyFont="1" applyFill="1" applyBorder="1" applyAlignment="1">
      <alignment horizontal="left" vertical="center"/>
    </xf>
    <xf numFmtId="43" fontId="59" fillId="0" borderId="26" xfId="3" applyNumberFormat="1" applyFont="1" applyBorder="1" applyAlignment="1">
      <alignment horizontal="left" vertical="center"/>
    </xf>
    <xf numFmtId="165" fontId="30" fillId="10" borderId="95" xfId="3" applyNumberFormat="1" applyFont="1" applyFill="1" applyBorder="1" applyAlignment="1">
      <alignment horizontal="center" vertical="center"/>
    </xf>
    <xf numFmtId="165" fontId="60" fillId="2" borderId="1" xfId="7" applyNumberFormat="1" applyFont="1" applyFill="1" applyBorder="1" applyAlignment="1">
      <alignment horizontal="center" vertical="center" wrapText="1"/>
    </xf>
    <xf numFmtId="165" fontId="60" fillId="0" borderId="1" xfId="7" applyNumberFormat="1" applyFont="1" applyBorder="1" applyAlignment="1">
      <alignment horizontal="center" vertical="center" wrapText="1"/>
    </xf>
    <xf numFmtId="165" fontId="48" fillId="10" borderId="95" xfId="7" applyNumberFormat="1" applyFont="1" applyFill="1" applyBorder="1" applyAlignment="1">
      <alignment horizontal="center" vertical="center"/>
    </xf>
    <xf numFmtId="0" fontId="48" fillId="0" borderId="18" xfId="3" applyFont="1" applyBorder="1">
      <alignment vertical="center"/>
    </xf>
    <xf numFmtId="2" fontId="30" fillId="0" borderId="26" xfId="3" applyNumberFormat="1" applyFont="1" applyBorder="1" applyAlignment="1">
      <alignment horizontal="center" vertical="center"/>
    </xf>
    <xf numFmtId="2" fontId="30" fillId="2" borderId="26" xfId="3" applyNumberFormat="1" applyFont="1" applyFill="1" applyBorder="1" applyAlignment="1">
      <alignment horizontal="center" vertical="center"/>
    </xf>
    <xf numFmtId="0" fontId="46" fillId="0" borderId="47" xfId="3" applyFont="1" applyBorder="1">
      <alignment vertical="center"/>
    </xf>
    <xf numFmtId="0" fontId="48" fillId="0" borderId="47" xfId="3" applyFont="1" applyBorder="1">
      <alignment vertical="center"/>
    </xf>
    <xf numFmtId="0" fontId="48" fillId="0" borderId="83" xfId="3" applyFont="1" applyBorder="1" applyAlignment="1">
      <alignment horizontal="center" vertical="center"/>
    </xf>
    <xf numFmtId="0" fontId="30" fillId="0" borderId="13" xfId="3" applyFont="1" applyBorder="1" applyAlignment="1">
      <alignment horizontal="center" vertical="center"/>
    </xf>
    <xf numFmtId="0" fontId="30" fillId="2" borderId="55" xfId="3" applyFont="1" applyFill="1" applyBorder="1" applyAlignment="1">
      <alignment horizontal="center" vertical="center"/>
    </xf>
    <xf numFmtId="0" fontId="30" fillId="0" borderId="56" xfId="3" applyFont="1" applyBorder="1" applyAlignment="1">
      <alignment horizontal="center" vertical="center"/>
    </xf>
    <xf numFmtId="165" fontId="60" fillId="0" borderId="0" xfId="7" applyNumberFormat="1" applyFont="1" applyAlignment="1">
      <alignment horizontal="center" vertical="center" wrapText="1"/>
    </xf>
    <xf numFmtId="0" fontId="46" fillId="2" borderId="0" xfId="3" applyFont="1" applyFill="1" applyAlignment="1"/>
    <xf numFmtId="0" fontId="53" fillId="0" borderId="7" xfId="0" applyFont="1" applyBorder="1"/>
    <xf numFmtId="0" fontId="61" fillId="0" borderId="7" xfId="0" applyFont="1" applyBorder="1" applyAlignment="1">
      <alignment horizontal="center"/>
    </xf>
    <xf numFmtId="0" fontId="61" fillId="0" borderId="7" xfId="0" applyFont="1" applyBorder="1"/>
    <xf numFmtId="0" fontId="61" fillId="0" borderId="0" xfId="0" applyFont="1"/>
    <xf numFmtId="0" fontId="61" fillId="0" borderId="0" xfId="0" applyFont="1" applyAlignment="1">
      <alignment horizontal="center"/>
    </xf>
    <xf numFmtId="0" fontId="53" fillId="0" borderId="0" xfId="0" applyFont="1"/>
    <xf numFmtId="0" fontId="53" fillId="0" borderId="38" xfId="0" applyFont="1" applyBorder="1"/>
    <xf numFmtId="0" fontId="61" fillId="0" borderId="38" xfId="0" applyFont="1" applyBorder="1"/>
    <xf numFmtId="0" fontId="61" fillId="0" borderId="38" xfId="0" applyFont="1" applyBorder="1" applyAlignment="1">
      <alignment horizontal="center"/>
    </xf>
    <xf numFmtId="165" fontId="61" fillId="0" borderId="0" xfId="0" applyNumberFormat="1" applyFont="1"/>
    <xf numFmtId="0" fontId="53" fillId="0" borderId="39" xfId="0" applyFont="1" applyBorder="1" applyAlignment="1">
      <alignment horizontal="center"/>
    </xf>
    <xf numFmtId="0" fontId="61" fillId="0" borderId="39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61" fillId="0" borderId="32" xfId="0" applyFont="1" applyBorder="1"/>
    <xf numFmtId="0" fontId="61" fillId="0" borderId="5" xfId="0" applyFont="1" applyBorder="1"/>
    <xf numFmtId="0" fontId="48" fillId="0" borderId="40" xfId="0" applyFont="1" applyBorder="1" applyAlignment="1">
      <alignment horizontal="center"/>
    </xf>
    <xf numFmtId="0" fontId="61" fillId="0" borderId="13" xfId="0" applyFont="1" applyBorder="1"/>
    <xf numFmtId="0" fontId="61" fillId="0" borderId="41" xfId="0" applyFont="1" applyBorder="1" applyAlignment="1">
      <alignment horizontal="center"/>
    </xf>
    <xf numFmtId="0" fontId="63" fillId="0" borderId="42" xfId="0" applyFont="1" applyBorder="1"/>
    <xf numFmtId="0" fontId="61" fillId="0" borderId="41" xfId="0" applyFont="1" applyBorder="1"/>
    <xf numFmtId="0" fontId="61" fillId="0" borderId="42" xfId="0" applyFont="1" applyBorder="1"/>
    <xf numFmtId="0" fontId="48" fillId="0" borderId="43" xfId="0" applyFont="1" applyBorder="1" applyAlignment="1">
      <alignment horizontal="left"/>
    </xf>
    <xf numFmtId="165" fontId="61" fillId="0" borderId="8" xfId="7" applyNumberFormat="1" applyFont="1" applyBorder="1" applyAlignment="1">
      <alignment horizontal="center"/>
    </xf>
    <xf numFmtId="3" fontId="61" fillId="0" borderId="1" xfId="0" applyNumberFormat="1" applyFont="1" applyBorder="1" applyAlignment="1">
      <alignment horizontal="center"/>
    </xf>
    <xf numFmtId="2" fontId="61" fillId="0" borderId="44" xfId="0" applyNumberFormat="1" applyFont="1" applyBorder="1" applyAlignment="1">
      <alignment horizontal="center"/>
    </xf>
    <xf numFmtId="9" fontId="61" fillId="0" borderId="27" xfId="0" applyNumberFormat="1" applyFont="1" applyBorder="1" applyAlignment="1">
      <alignment horizontal="center"/>
    </xf>
    <xf numFmtId="2" fontId="61" fillId="0" borderId="27" xfId="0" applyNumberFormat="1" applyFont="1" applyBorder="1" applyAlignment="1">
      <alignment horizontal="center"/>
    </xf>
    <xf numFmtId="9" fontId="61" fillId="0" borderId="0" xfId="2" applyFont="1" applyAlignment="1"/>
    <xf numFmtId="165" fontId="61" fillId="0" borderId="8" xfId="7" applyNumberFormat="1" applyFont="1" applyFill="1" applyBorder="1" applyAlignment="1">
      <alignment horizontal="center"/>
    </xf>
    <xf numFmtId="3" fontId="61" fillId="0" borderId="1" xfId="0" applyNumberFormat="1" applyFont="1" applyFill="1" applyBorder="1" applyAlignment="1">
      <alignment horizontal="center"/>
    </xf>
    <xf numFmtId="2" fontId="61" fillId="0" borderId="44" xfId="0" applyNumberFormat="1" applyFont="1" applyFill="1" applyBorder="1" applyAlignment="1">
      <alignment horizontal="center"/>
    </xf>
    <xf numFmtId="0" fontId="61" fillId="0" borderId="0" xfId="0" applyFont="1" applyFill="1"/>
    <xf numFmtId="9" fontId="61" fillId="0" borderId="27" xfId="0" applyNumberFormat="1" applyFont="1" applyFill="1" applyBorder="1" applyAlignment="1">
      <alignment horizontal="center"/>
    </xf>
    <xf numFmtId="2" fontId="61" fillId="16" borderId="27" xfId="0" applyNumberFormat="1" applyFont="1" applyFill="1" applyBorder="1" applyAlignment="1">
      <alignment horizontal="center"/>
    </xf>
    <xf numFmtId="0" fontId="48" fillId="0" borderId="43" xfId="0" applyFont="1" applyFill="1" applyBorder="1" applyAlignment="1">
      <alignment horizontal="left"/>
    </xf>
    <xf numFmtId="3" fontId="61" fillId="0" borderId="0" xfId="0" applyNumberFormat="1" applyFont="1" applyAlignment="1">
      <alignment horizontal="center"/>
    </xf>
    <xf numFmtId="0" fontId="53" fillId="0" borderId="27" xfId="0" applyFont="1" applyBorder="1" applyAlignment="1">
      <alignment horizontal="center"/>
    </xf>
    <xf numFmtId="165" fontId="53" fillId="5" borderId="27" xfId="7" applyNumberFormat="1" applyFont="1" applyFill="1" applyBorder="1" applyAlignment="1">
      <alignment horizontal="center"/>
    </xf>
    <xf numFmtId="3" fontId="53" fillId="5" borderId="27" xfId="0" applyNumberFormat="1" applyFont="1" applyFill="1" applyBorder="1" applyAlignment="1">
      <alignment horizontal="center"/>
    </xf>
    <xf numFmtId="2" fontId="53" fillId="5" borderId="45" xfId="0" applyNumberFormat="1" applyFont="1" applyFill="1" applyBorder="1" applyAlignment="1">
      <alignment horizontal="center"/>
    </xf>
    <xf numFmtId="9" fontId="61" fillId="5" borderId="27" xfId="0" applyNumberFormat="1" applyFont="1" applyFill="1" applyBorder="1" applyAlignment="1">
      <alignment horizontal="center"/>
    </xf>
    <xf numFmtId="2" fontId="53" fillId="5" borderId="27" xfId="0" applyNumberFormat="1" applyFont="1" applyFill="1" applyBorder="1" applyAlignment="1">
      <alignment horizontal="center"/>
    </xf>
    <xf numFmtId="0" fontId="53" fillId="0" borderId="38" xfId="0" applyFont="1" applyFill="1" applyBorder="1" applyAlignment="1"/>
    <xf numFmtId="2" fontId="61" fillId="0" borderId="0" xfId="0" applyNumberFormat="1" applyFont="1"/>
    <xf numFmtId="0" fontId="64" fillId="0" borderId="0" xfId="6" applyFont="1"/>
    <xf numFmtId="0" fontId="46" fillId="0" borderId="0" xfId="6" applyFont="1"/>
    <xf numFmtId="0" fontId="46" fillId="0" borderId="0" xfId="6" applyFont="1" applyFill="1"/>
    <xf numFmtId="0" fontId="46" fillId="17" borderId="0" xfId="6" applyFont="1" applyFill="1"/>
    <xf numFmtId="0" fontId="46" fillId="0" borderId="5" xfId="6" applyFont="1" applyBorder="1"/>
    <xf numFmtId="0" fontId="46" fillId="0" borderId="6" xfId="6" applyFont="1" applyBorder="1"/>
    <xf numFmtId="0" fontId="46" fillId="0" borderId="36" xfId="6" applyFont="1" applyBorder="1"/>
    <xf numFmtId="0" fontId="46" fillId="0" borderId="5" xfId="6" applyFont="1" applyFill="1" applyBorder="1"/>
    <xf numFmtId="0" fontId="46" fillId="13" borderId="5" xfId="6" applyFont="1" applyFill="1" applyBorder="1"/>
    <xf numFmtId="0" fontId="46" fillId="0" borderId="10" xfId="6" applyFont="1" applyBorder="1"/>
    <xf numFmtId="0" fontId="64" fillId="0" borderId="7" xfId="6" applyFont="1" applyBorder="1"/>
    <xf numFmtId="0" fontId="29" fillId="0" borderId="7" xfId="6" applyFont="1" applyBorder="1"/>
    <xf numFmtId="0" fontId="53" fillId="0" borderId="7" xfId="6" applyFont="1" applyBorder="1"/>
    <xf numFmtId="0" fontId="46" fillId="0" borderId="46" xfId="6" applyFont="1" applyBorder="1"/>
    <xf numFmtId="0" fontId="64" fillId="0" borderId="13" xfId="6" applyFont="1" applyBorder="1"/>
    <xf numFmtId="0" fontId="46" fillId="0" borderId="32" xfId="6" applyFont="1" applyBorder="1"/>
    <xf numFmtId="0" fontId="64" fillId="0" borderId="32" xfId="6" applyFont="1" applyBorder="1"/>
    <xf numFmtId="0" fontId="29" fillId="0" borderId="32" xfId="6" applyFont="1" applyBorder="1"/>
    <xf numFmtId="0" fontId="53" fillId="0" borderId="32" xfId="6" applyFont="1" applyBorder="1"/>
    <xf numFmtId="0" fontId="46" fillId="0" borderId="33" xfId="6" applyFont="1" applyBorder="1"/>
    <xf numFmtId="0" fontId="47" fillId="0" borderId="13" xfId="6" applyFont="1" applyFill="1" applyBorder="1"/>
    <xf numFmtId="0" fontId="47" fillId="13" borderId="13" xfId="6" applyFont="1" applyFill="1" applyBorder="1"/>
    <xf numFmtId="0" fontId="64" fillId="0" borderId="0" xfId="6" applyFont="1" applyBorder="1"/>
    <xf numFmtId="0" fontId="29" fillId="0" borderId="0" xfId="6" applyFont="1" applyBorder="1"/>
    <xf numFmtId="0" fontId="53" fillId="0" borderId="0" xfId="6" applyFont="1" applyBorder="1"/>
    <xf numFmtId="0" fontId="46" fillId="0" borderId="31" xfId="6" applyFont="1" applyBorder="1"/>
    <xf numFmtId="0" fontId="47" fillId="0" borderId="0" xfId="6" applyFont="1" applyFill="1" applyBorder="1"/>
    <xf numFmtId="0" fontId="47" fillId="13" borderId="0" xfId="6" applyFont="1" applyFill="1" applyBorder="1"/>
    <xf numFmtId="0" fontId="46" fillId="0" borderId="47" xfId="6" applyFont="1" applyBorder="1"/>
    <xf numFmtId="43" fontId="46" fillId="0" borderId="0" xfId="6" applyNumberFormat="1" applyFont="1"/>
    <xf numFmtId="0" fontId="48" fillId="0" borderId="0" xfId="6" applyFont="1"/>
    <xf numFmtId="0" fontId="29" fillId="0" borderId="48" xfId="6" applyFont="1" applyBorder="1" applyAlignment="1">
      <alignment horizontal="center"/>
    </xf>
    <xf numFmtId="0" fontId="29" fillId="0" borderId="50" xfId="6" applyFont="1" applyFill="1" applyBorder="1" applyAlignment="1">
      <alignment horizontal="center"/>
    </xf>
    <xf numFmtId="0" fontId="47" fillId="0" borderId="38" xfId="6" applyFont="1" applyBorder="1"/>
    <xf numFmtId="0" fontId="47" fillId="0" borderId="51" xfId="6" applyFont="1" applyBorder="1" applyAlignment="1">
      <alignment horizontal="center"/>
    </xf>
    <xf numFmtId="0" fontId="47" fillId="0" borderId="52" xfId="6" applyFont="1" applyBorder="1" applyAlignment="1">
      <alignment horizontal="center"/>
    </xf>
    <xf numFmtId="0" fontId="47" fillId="0" borderId="53" xfId="6" applyFont="1" applyBorder="1" applyAlignment="1">
      <alignment horizontal="center"/>
    </xf>
    <xf numFmtId="0" fontId="47" fillId="6" borderId="52" xfId="6" applyFont="1" applyFill="1" applyBorder="1" applyAlignment="1">
      <alignment horizontal="center"/>
    </xf>
    <xf numFmtId="0" fontId="47" fillId="6" borderId="53" xfId="6" applyFont="1" applyFill="1" applyBorder="1" applyAlignment="1">
      <alignment horizontal="center"/>
    </xf>
    <xf numFmtId="0" fontId="46" fillId="0" borderId="39" xfId="6" applyFont="1" applyBorder="1"/>
    <xf numFmtId="0" fontId="47" fillId="0" borderId="24" xfId="6" applyFont="1" applyBorder="1" applyAlignment="1">
      <alignment horizontal="center"/>
    </xf>
    <xf numFmtId="0" fontId="47" fillId="0" borderId="21" xfId="6" applyFont="1" applyBorder="1" applyAlignment="1">
      <alignment horizontal="center"/>
    </xf>
    <xf numFmtId="0" fontId="47" fillId="0" borderId="54" xfId="6" applyFont="1" applyBorder="1" applyAlignment="1">
      <alignment horizontal="center"/>
    </xf>
    <xf numFmtId="0" fontId="47" fillId="6" borderId="21" xfId="6" applyFont="1" applyFill="1" applyBorder="1" applyAlignment="1">
      <alignment horizontal="center"/>
    </xf>
    <xf numFmtId="0" fontId="47" fillId="6" borderId="54" xfId="6" applyFont="1" applyFill="1" applyBorder="1" applyAlignment="1">
      <alignment horizontal="center"/>
    </xf>
    <xf numFmtId="0" fontId="47" fillId="0" borderId="0" xfId="6" applyFont="1" applyFill="1" applyBorder="1" applyAlignment="1">
      <alignment horizontal="center"/>
    </xf>
    <xf numFmtId="0" fontId="48" fillId="0" borderId="24" xfId="6" applyFont="1" applyBorder="1" applyAlignment="1">
      <alignment horizontal="center"/>
    </xf>
    <xf numFmtId="0" fontId="46" fillId="0" borderId="48" xfId="6" applyFont="1" applyBorder="1" applyAlignment="1">
      <alignment horizontal="center"/>
    </xf>
    <xf numFmtId="0" fontId="47" fillId="0" borderId="55" xfId="6" applyFont="1" applyBorder="1" applyAlignment="1">
      <alignment horizontal="center"/>
    </xf>
    <xf numFmtId="0" fontId="47" fillId="0" borderId="56" xfId="6" applyFont="1" applyBorder="1" applyAlignment="1">
      <alignment horizontal="center"/>
    </xf>
    <xf numFmtId="0" fontId="47" fillId="0" borderId="57" xfId="6" applyFont="1" applyBorder="1" applyAlignment="1">
      <alignment horizontal="center"/>
    </xf>
    <xf numFmtId="0" fontId="47" fillId="6" borderId="56" xfId="6" applyFont="1" applyFill="1" applyBorder="1" applyAlignment="1">
      <alignment horizontal="center"/>
    </xf>
    <xf numFmtId="0" fontId="47" fillId="6" borderId="57" xfId="6" applyFont="1" applyFill="1" applyBorder="1" applyAlignment="1">
      <alignment horizontal="center"/>
    </xf>
    <xf numFmtId="0" fontId="47" fillId="0" borderId="32" xfId="6" applyFont="1" applyFill="1" applyBorder="1" applyAlignment="1">
      <alignment horizontal="center"/>
    </xf>
    <xf numFmtId="0" fontId="46" fillId="17" borderId="0" xfId="6" applyFont="1" applyFill="1" applyAlignment="1">
      <alignment horizontal="center"/>
    </xf>
    <xf numFmtId="0" fontId="46" fillId="0" borderId="0" xfId="6" applyFont="1" applyAlignment="1">
      <alignment horizontal="center"/>
    </xf>
    <xf numFmtId="0" fontId="65" fillId="0" borderId="59" xfId="6" applyFont="1" applyFill="1" applyBorder="1" applyAlignment="1">
      <alignment horizontal="center" vertical="center"/>
    </xf>
    <xf numFmtId="0" fontId="47" fillId="0" borderId="42" xfId="6" applyFont="1" applyBorder="1"/>
    <xf numFmtId="0" fontId="46" fillId="0" borderId="35" xfId="6" applyFont="1" applyBorder="1" applyAlignment="1">
      <alignment horizontal="right"/>
    </xf>
    <xf numFmtId="0" fontId="46" fillId="0" borderId="20" xfId="6" applyFont="1" applyBorder="1" applyAlignment="1">
      <alignment horizontal="right"/>
    </xf>
    <xf numFmtId="0" fontId="46" fillId="0" borderId="61" xfId="6" applyFont="1" applyBorder="1" applyAlignment="1">
      <alignment horizontal="right"/>
    </xf>
    <xf numFmtId="0" fontId="66" fillId="6" borderId="20" xfId="6" applyFont="1" applyFill="1" applyBorder="1" applyAlignment="1">
      <alignment horizontal="right"/>
    </xf>
    <xf numFmtId="0" fontId="66" fillId="6" borderId="61" xfId="6" applyFont="1" applyFill="1" applyBorder="1" applyAlignment="1">
      <alignment horizontal="right"/>
    </xf>
    <xf numFmtId="0" fontId="46" fillId="0" borderId="1" xfId="6" applyFont="1" applyBorder="1" applyAlignment="1">
      <alignment horizontal="right"/>
    </xf>
    <xf numFmtId="0" fontId="49" fillId="0" borderId="63" xfId="6" applyFont="1" applyBorder="1" applyAlignment="1">
      <alignment horizontal="right"/>
    </xf>
    <xf numFmtId="0" fontId="46" fillId="0" borderId="64" xfId="6" applyFont="1" applyBorder="1" applyAlignment="1">
      <alignment horizontal="right"/>
    </xf>
    <xf numFmtId="0" fontId="46" fillId="0" borderId="62" xfId="6" applyFont="1" applyBorder="1" applyAlignment="1">
      <alignment horizontal="right"/>
    </xf>
    <xf numFmtId="0" fontId="46" fillId="0" borderId="65" xfId="6" applyFont="1" applyBorder="1" applyAlignment="1">
      <alignment horizontal="right"/>
    </xf>
    <xf numFmtId="0" fontId="66" fillId="6" borderId="62" xfId="6" applyFont="1" applyFill="1" applyBorder="1" applyAlignment="1">
      <alignment horizontal="right"/>
    </xf>
    <xf numFmtId="0" fontId="66" fillId="6" borderId="65" xfId="6" applyFont="1" applyFill="1" applyBorder="1" applyAlignment="1">
      <alignment horizontal="right"/>
    </xf>
    <xf numFmtId="0" fontId="46" fillId="0" borderId="3" xfId="6" applyFont="1" applyBorder="1" applyAlignment="1">
      <alignment horizontal="right"/>
    </xf>
    <xf numFmtId="0" fontId="50" fillId="0" borderId="66" xfId="6" applyFont="1" applyBorder="1" applyAlignment="1">
      <alignment horizontal="right"/>
    </xf>
    <xf numFmtId="1" fontId="50" fillId="0" borderId="67" xfId="6" applyNumberFormat="1" applyFont="1" applyBorder="1" applyAlignment="1">
      <alignment horizontal="right"/>
    </xf>
    <xf numFmtId="2" fontId="46" fillId="0" borderId="67" xfId="6" applyNumberFormat="1" applyFont="1" applyBorder="1" applyAlignment="1">
      <alignment horizontal="right"/>
    </xf>
    <xf numFmtId="165" fontId="1" fillId="0" borderId="67" xfId="8" applyNumberFormat="1" applyFont="1" applyBorder="1" applyAlignment="1">
      <alignment horizontal="right"/>
    </xf>
    <xf numFmtId="43" fontId="1" fillId="0" borderId="67" xfId="8" applyFont="1" applyBorder="1" applyAlignment="1">
      <alignment horizontal="right"/>
    </xf>
    <xf numFmtId="165" fontId="1" fillId="0" borderId="4" xfId="8" applyNumberFormat="1" applyFont="1" applyBorder="1" applyAlignment="1">
      <alignment horizontal="right"/>
    </xf>
    <xf numFmtId="173" fontId="1" fillId="0" borderId="68" xfId="2" applyNumberFormat="1" applyFont="1" applyBorder="1" applyAlignment="1">
      <alignment horizontal="right"/>
    </xf>
    <xf numFmtId="165" fontId="46" fillId="6" borderId="4" xfId="8" applyNumberFormat="1" applyFont="1" applyFill="1" applyBorder="1" applyAlignment="1">
      <alignment horizontal="right"/>
    </xf>
    <xf numFmtId="9" fontId="1" fillId="6" borderId="68" xfId="2" applyFont="1" applyFill="1" applyBorder="1" applyAlignment="1">
      <alignment horizontal="right"/>
    </xf>
    <xf numFmtId="9" fontId="1" fillId="0" borderId="68" xfId="2" applyNumberFormat="1" applyFont="1" applyBorder="1" applyAlignment="1">
      <alignment horizontal="right"/>
    </xf>
    <xf numFmtId="1" fontId="50" fillId="0" borderId="3" xfId="6" applyNumberFormat="1" applyFont="1" applyBorder="1" applyAlignment="1">
      <alignment horizontal="right"/>
    </xf>
    <xf numFmtId="9" fontId="1" fillId="0" borderId="68" xfId="2" applyFont="1" applyBorder="1" applyAlignment="1">
      <alignment horizontal="right"/>
    </xf>
    <xf numFmtId="1" fontId="50" fillId="0" borderId="66" xfId="6" applyNumberFormat="1" applyFont="1" applyBorder="1" applyAlignment="1">
      <alignment horizontal="right"/>
    </xf>
    <xf numFmtId="43" fontId="46" fillId="6" borderId="4" xfId="8" applyNumberFormat="1" applyFont="1" applyFill="1" applyBorder="1" applyAlignment="1">
      <alignment horizontal="right"/>
    </xf>
    <xf numFmtId="9" fontId="46" fillId="6" borderId="68" xfId="2" applyFont="1" applyFill="1" applyBorder="1" applyAlignment="1">
      <alignment horizontal="right"/>
    </xf>
    <xf numFmtId="0" fontId="50" fillId="0" borderId="39" xfId="6" applyFont="1" applyBorder="1" applyAlignment="1">
      <alignment horizontal="right"/>
    </xf>
    <xf numFmtId="165" fontId="1" fillId="0" borderId="70" xfId="8" applyNumberFormat="1" applyFont="1" applyBorder="1" applyAlignment="1">
      <alignment horizontal="right"/>
    </xf>
    <xf numFmtId="43" fontId="1" fillId="0" borderId="70" xfId="8" applyFont="1" applyBorder="1" applyAlignment="1">
      <alignment horizontal="right"/>
    </xf>
    <xf numFmtId="165" fontId="1" fillId="0" borderId="73" xfId="8" applyNumberFormat="1" applyFont="1" applyBorder="1" applyAlignment="1">
      <alignment horizontal="right"/>
    </xf>
    <xf numFmtId="165" fontId="46" fillId="6" borderId="21" xfId="8" applyNumberFormat="1" applyFont="1" applyFill="1" applyBorder="1" applyAlignment="1">
      <alignment horizontal="right"/>
    </xf>
    <xf numFmtId="9" fontId="1" fillId="0" borderId="93" xfId="2" applyFont="1" applyFill="1" applyBorder="1" applyAlignment="1">
      <alignment horizontal="right"/>
    </xf>
    <xf numFmtId="9" fontId="1" fillId="0" borderId="54" xfId="2" applyFont="1" applyBorder="1" applyAlignment="1">
      <alignment horizontal="right"/>
    </xf>
    <xf numFmtId="1" fontId="50" fillId="0" borderId="39" xfId="6" applyNumberFormat="1" applyFont="1" applyBorder="1" applyAlignment="1">
      <alignment horizontal="right"/>
    </xf>
    <xf numFmtId="9" fontId="1" fillId="6" borderId="104" xfId="2" applyFont="1" applyFill="1" applyBorder="1" applyAlignment="1">
      <alignment horizontal="right"/>
    </xf>
    <xf numFmtId="1" fontId="50" fillId="0" borderId="24" xfId="6" applyNumberFormat="1" applyFont="1" applyBorder="1" applyAlignment="1">
      <alignment horizontal="right"/>
    </xf>
    <xf numFmtId="43" fontId="46" fillId="6" borderId="68" xfId="8" applyFont="1" applyFill="1" applyBorder="1" applyAlignment="1">
      <alignment horizontal="right"/>
    </xf>
    <xf numFmtId="165" fontId="46" fillId="6" borderId="72" xfId="8" applyNumberFormat="1" applyFont="1" applyFill="1" applyBorder="1" applyAlignment="1">
      <alignment horizontal="right"/>
    </xf>
    <xf numFmtId="43" fontId="1" fillId="0" borderId="54" xfId="8" applyFont="1" applyBorder="1" applyAlignment="1">
      <alignment horizontal="right"/>
    </xf>
    <xf numFmtId="1" fontId="50" fillId="0" borderId="74" xfId="6" applyNumberFormat="1" applyFont="1" applyBorder="1" applyAlignment="1">
      <alignment horizontal="right"/>
    </xf>
    <xf numFmtId="43" fontId="1" fillId="0" borderId="68" xfId="8" applyFont="1" applyBorder="1" applyAlignment="1">
      <alignment horizontal="right"/>
    </xf>
    <xf numFmtId="43" fontId="1" fillId="0" borderId="67" xfId="8" applyNumberFormat="1" applyFont="1" applyBorder="1" applyAlignment="1">
      <alignment horizontal="right"/>
    </xf>
    <xf numFmtId="0" fontId="49" fillId="0" borderId="42" xfId="6" applyFont="1" applyBorder="1" applyAlignment="1">
      <alignment horizontal="right"/>
    </xf>
    <xf numFmtId="43" fontId="46" fillId="6" borderId="75" xfId="8" applyFont="1" applyFill="1" applyBorder="1" applyAlignment="1">
      <alignment horizontal="right"/>
    </xf>
    <xf numFmtId="165" fontId="46" fillId="0" borderId="24" xfId="8" applyNumberFormat="1" applyFont="1" applyBorder="1" applyAlignment="1">
      <alignment horizontal="right"/>
    </xf>
    <xf numFmtId="43" fontId="1" fillId="0" borderId="24" xfId="8" applyFont="1" applyBorder="1" applyAlignment="1">
      <alignment horizontal="right"/>
    </xf>
    <xf numFmtId="165" fontId="1" fillId="0" borderId="21" xfId="8" applyNumberFormat="1" applyFont="1" applyBorder="1" applyAlignment="1">
      <alignment horizontal="right"/>
    </xf>
    <xf numFmtId="165" fontId="1" fillId="0" borderId="24" xfId="8" applyNumberFormat="1" applyFont="1" applyBorder="1" applyAlignment="1">
      <alignment horizontal="right"/>
    </xf>
    <xf numFmtId="9" fontId="1" fillId="6" borderId="54" xfId="2" applyFont="1" applyFill="1" applyBorder="1" applyAlignment="1">
      <alignment horizontal="right"/>
    </xf>
    <xf numFmtId="43" fontId="46" fillId="0" borderId="94" xfId="8" applyFont="1" applyFill="1" applyBorder="1" applyAlignment="1">
      <alignment horizontal="right"/>
    </xf>
    <xf numFmtId="1" fontId="46" fillId="0" borderId="35" xfId="6" applyNumberFormat="1" applyFont="1" applyBorder="1" applyAlignment="1">
      <alignment horizontal="right"/>
    </xf>
    <xf numFmtId="165" fontId="1" fillId="0" borderId="20" xfId="8" applyNumberFormat="1" applyFont="1" applyBorder="1" applyAlignment="1">
      <alignment horizontal="right"/>
    </xf>
    <xf numFmtId="165" fontId="46" fillId="6" borderId="20" xfId="8" applyNumberFormat="1" applyFont="1" applyFill="1" applyBorder="1" applyAlignment="1">
      <alignment horizontal="right"/>
    </xf>
    <xf numFmtId="43" fontId="46" fillId="6" borderId="61" xfId="8" applyFont="1" applyFill="1" applyBorder="1" applyAlignment="1">
      <alignment horizontal="right"/>
    </xf>
    <xf numFmtId="1" fontId="50" fillId="0" borderId="35" xfId="6" applyNumberFormat="1" applyFont="1" applyBorder="1" applyAlignment="1">
      <alignment horizontal="right"/>
    </xf>
    <xf numFmtId="165" fontId="46" fillId="6" borderId="62" xfId="8" applyNumberFormat="1" applyFont="1" applyFill="1" applyBorder="1" applyAlignment="1">
      <alignment horizontal="right"/>
    </xf>
    <xf numFmtId="43" fontId="46" fillId="6" borderId="65" xfId="8" applyFont="1" applyFill="1" applyBorder="1" applyAlignment="1">
      <alignment horizontal="right"/>
    </xf>
    <xf numFmtId="2" fontId="46" fillId="0" borderId="64" xfId="6" applyNumberFormat="1" applyFont="1" applyBorder="1" applyAlignment="1">
      <alignment horizontal="right"/>
    </xf>
    <xf numFmtId="165" fontId="1" fillId="0" borderId="62" xfId="8" applyNumberFormat="1" applyFont="1" applyBorder="1" applyAlignment="1">
      <alignment horizontal="right"/>
    </xf>
    <xf numFmtId="9" fontId="1" fillId="0" borderId="65" xfId="2" applyFont="1" applyBorder="1" applyAlignment="1">
      <alignment horizontal="right"/>
    </xf>
    <xf numFmtId="1" fontId="50" fillId="0" borderId="64" xfId="6" applyNumberFormat="1" applyFont="1" applyBorder="1" applyAlignment="1">
      <alignment horizontal="right"/>
    </xf>
    <xf numFmtId="1" fontId="46" fillId="0" borderId="67" xfId="6" applyNumberFormat="1" applyFont="1" applyBorder="1" applyAlignment="1">
      <alignment horizontal="right"/>
    </xf>
    <xf numFmtId="170" fontId="46" fillId="0" borderId="67" xfId="1" applyNumberFormat="1" applyFont="1" applyBorder="1" applyAlignment="1">
      <alignment horizontal="right"/>
    </xf>
    <xf numFmtId="2" fontId="50" fillId="0" borderId="66" xfId="6" applyNumberFormat="1" applyFont="1" applyBorder="1" applyAlignment="1">
      <alignment horizontal="right"/>
    </xf>
    <xf numFmtId="0" fontId="50" fillId="0" borderId="71" xfId="6" applyFont="1" applyBorder="1" applyAlignment="1">
      <alignment horizontal="right"/>
    </xf>
    <xf numFmtId="1" fontId="50" fillId="0" borderId="78" xfId="6" applyNumberFormat="1" applyFont="1" applyBorder="1" applyAlignment="1">
      <alignment horizontal="right"/>
    </xf>
    <xf numFmtId="1" fontId="50" fillId="0" borderId="70" xfId="6" applyNumberFormat="1" applyFont="1" applyBorder="1" applyAlignment="1">
      <alignment horizontal="right"/>
    </xf>
    <xf numFmtId="0" fontId="50" fillId="0" borderId="79" xfId="6" applyFont="1" applyBorder="1" applyAlignment="1">
      <alignment horizontal="right"/>
    </xf>
    <xf numFmtId="43" fontId="46" fillId="6" borderId="54" xfId="8" applyFont="1" applyFill="1" applyBorder="1" applyAlignment="1">
      <alignment horizontal="right"/>
    </xf>
    <xf numFmtId="43" fontId="46" fillId="0" borderId="0" xfId="8" applyFont="1" applyFill="1" applyBorder="1" applyAlignment="1">
      <alignment horizontal="right"/>
    </xf>
    <xf numFmtId="0" fontId="47" fillId="0" borderId="43" xfId="6" applyFont="1" applyBorder="1"/>
    <xf numFmtId="43" fontId="1" fillId="0" borderId="75" xfId="8" applyFont="1" applyBorder="1" applyAlignment="1">
      <alignment horizontal="right"/>
    </xf>
    <xf numFmtId="165" fontId="1" fillId="0" borderId="64" xfId="8" applyNumberFormat="1" applyFont="1" applyBorder="1" applyAlignment="1">
      <alignment horizontal="right"/>
    </xf>
    <xf numFmtId="9" fontId="1" fillId="0" borderId="94" xfId="2" applyFont="1" applyFill="1" applyBorder="1" applyAlignment="1">
      <alignment horizontal="right"/>
    </xf>
    <xf numFmtId="1" fontId="46" fillId="0" borderId="64" xfId="6" applyNumberFormat="1" applyFont="1" applyBorder="1" applyAlignment="1">
      <alignment horizontal="right"/>
    </xf>
    <xf numFmtId="43" fontId="46" fillId="0" borderId="93" xfId="8" applyFont="1" applyFill="1" applyBorder="1" applyAlignment="1">
      <alignment horizontal="right"/>
    </xf>
    <xf numFmtId="0" fontId="47" fillId="0" borderId="27" xfId="6" applyFont="1" applyBorder="1"/>
    <xf numFmtId="165" fontId="47" fillId="0" borderId="80" xfId="8" applyNumberFormat="1" applyFont="1" applyBorder="1"/>
    <xf numFmtId="165" fontId="47" fillId="0" borderId="14" xfId="8" applyNumberFormat="1" applyFont="1" applyBorder="1"/>
    <xf numFmtId="3" fontId="47" fillId="0" borderId="14" xfId="6" applyNumberFormat="1" applyFont="1" applyBorder="1"/>
    <xf numFmtId="3" fontId="47" fillId="0" borderId="14" xfId="6" applyNumberFormat="1" applyFont="1" applyFill="1" applyBorder="1"/>
    <xf numFmtId="165" fontId="47" fillId="0" borderId="14" xfId="2" applyNumberFormat="1" applyFont="1" applyBorder="1"/>
    <xf numFmtId="165" fontId="47" fillId="0" borderId="4" xfId="8" applyNumberFormat="1" applyFont="1" applyFill="1" applyBorder="1" applyAlignment="1">
      <alignment horizontal="right"/>
    </xf>
    <xf numFmtId="165" fontId="47" fillId="6" borderId="4" xfId="8" applyNumberFormat="1" applyFont="1" applyFill="1" applyBorder="1" applyAlignment="1">
      <alignment horizontal="right"/>
    </xf>
    <xf numFmtId="9" fontId="47" fillId="6" borderId="4" xfId="2" applyFont="1" applyFill="1" applyBorder="1" applyAlignment="1">
      <alignment horizontal="right"/>
    </xf>
    <xf numFmtId="9" fontId="47" fillId="0" borderId="115" xfId="2" applyFont="1" applyFill="1" applyBorder="1"/>
    <xf numFmtId="165" fontId="47" fillId="0" borderId="114" xfId="8" applyNumberFormat="1" applyFont="1" applyFill="1" applyBorder="1" applyAlignment="1">
      <alignment horizontal="right"/>
    </xf>
    <xf numFmtId="165" fontId="47" fillId="6" borderId="112" xfId="8" applyNumberFormat="1" applyFont="1" applyFill="1" applyBorder="1" applyAlignment="1">
      <alignment horizontal="right"/>
    </xf>
    <xf numFmtId="9" fontId="47" fillId="6" borderId="113" xfId="2" applyFont="1" applyFill="1" applyBorder="1" applyAlignment="1">
      <alignment horizontal="right"/>
    </xf>
    <xf numFmtId="9" fontId="47" fillId="0" borderId="14" xfId="2" applyFont="1" applyBorder="1"/>
    <xf numFmtId="9" fontId="47" fillId="0" borderId="32" xfId="2" applyFont="1" applyFill="1" applyBorder="1" applyAlignment="1">
      <alignment horizontal="right"/>
    </xf>
    <xf numFmtId="9" fontId="47" fillId="0" borderId="14" xfId="2" applyNumberFormat="1" applyFont="1" applyBorder="1"/>
    <xf numFmtId="165" fontId="47" fillId="0" borderId="41" xfId="8" applyNumberFormat="1" applyFont="1" applyBorder="1"/>
    <xf numFmtId="165" fontId="47" fillId="6" borderId="114" xfId="8" applyNumberFormat="1" applyFont="1" applyFill="1" applyBorder="1" applyAlignment="1">
      <alignment horizontal="right"/>
    </xf>
    <xf numFmtId="9" fontId="47" fillId="6" borderId="113" xfId="2" applyNumberFormat="1" applyFont="1" applyFill="1" applyBorder="1" applyAlignment="1">
      <alignment horizontal="right"/>
    </xf>
    <xf numFmtId="0" fontId="47" fillId="17" borderId="0" xfId="6" applyFont="1" applyFill="1"/>
    <xf numFmtId="0" fontId="47" fillId="0" borderId="0" xfId="6" applyFont="1"/>
    <xf numFmtId="165" fontId="47" fillId="0" borderId="50" xfId="8" applyNumberFormat="1" applyFont="1" applyBorder="1"/>
    <xf numFmtId="3" fontId="47" fillId="0" borderId="32" xfId="6" applyNumberFormat="1" applyFont="1" applyBorder="1"/>
    <xf numFmtId="165" fontId="47" fillId="0" borderId="32" xfId="8" applyNumberFormat="1" applyFont="1" applyBorder="1"/>
    <xf numFmtId="165" fontId="47" fillId="0" borderId="33" xfId="8" applyNumberFormat="1" applyFont="1" applyBorder="1"/>
    <xf numFmtId="165" fontId="47" fillId="0" borderId="32" xfId="8" applyNumberFormat="1" applyFont="1" applyFill="1" applyBorder="1"/>
    <xf numFmtId="165" fontId="47" fillId="0" borderId="50" xfId="8" applyNumberFormat="1" applyFont="1" applyBorder="1" applyAlignment="1">
      <alignment horizontal="center"/>
    </xf>
    <xf numFmtId="165" fontId="47" fillId="0" borderId="49" xfId="8" applyNumberFormat="1" applyFont="1" applyBorder="1" applyAlignment="1">
      <alignment horizontal="center"/>
    </xf>
    <xf numFmtId="0" fontId="47" fillId="0" borderId="50" xfId="6" applyFont="1" applyBorder="1"/>
    <xf numFmtId="166" fontId="47" fillId="0" borderId="50" xfId="8" applyNumberFormat="1" applyFont="1" applyBorder="1"/>
    <xf numFmtId="166" fontId="47" fillId="0" borderId="45" xfId="8" applyNumberFormat="1" applyFont="1" applyBorder="1"/>
    <xf numFmtId="0" fontId="47" fillId="0" borderId="49" xfId="6" applyFont="1" applyBorder="1"/>
    <xf numFmtId="165" fontId="47" fillId="0" borderId="49" xfId="6" applyNumberFormat="1" applyFont="1" applyBorder="1"/>
    <xf numFmtId="166" fontId="47" fillId="0" borderId="50" xfId="8" applyNumberFormat="1" applyFont="1" applyFill="1" applyBorder="1"/>
    <xf numFmtId="165" fontId="47" fillId="0" borderId="49" xfId="6" applyNumberFormat="1" applyFont="1" applyFill="1" applyBorder="1"/>
    <xf numFmtId="165" fontId="47" fillId="0" borderId="50" xfId="6" applyNumberFormat="1" applyFont="1" applyBorder="1"/>
    <xf numFmtId="2" fontId="47" fillId="0" borderId="50" xfId="6" applyNumberFormat="1" applyFont="1" applyBorder="1"/>
    <xf numFmtId="2" fontId="47" fillId="0" borderId="45" xfId="6" applyNumberFormat="1" applyFont="1" applyBorder="1" applyAlignment="1">
      <alignment horizontal="left"/>
    </xf>
    <xf numFmtId="0" fontId="47" fillId="0" borderId="45" xfId="6" applyFont="1" applyBorder="1"/>
    <xf numFmtId="0" fontId="47" fillId="6" borderId="50" xfId="6" applyFont="1" applyFill="1" applyBorder="1"/>
    <xf numFmtId="0" fontId="47" fillId="6" borderId="45" xfId="6" applyFont="1" applyFill="1" applyBorder="1"/>
    <xf numFmtId="2" fontId="47" fillId="0" borderId="45" xfId="6" applyNumberFormat="1" applyFont="1" applyFill="1" applyBorder="1" applyAlignment="1">
      <alignment horizontal="left"/>
    </xf>
    <xf numFmtId="0" fontId="47" fillId="0" borderId="50" xfId="6" applyFont="1" applyFill="1" applyBorder="1"/>
    <xf numFmtId="0" fontId="46" fillId="0" borderId="49" xfId="6" applyFont="1" applyBorder="1"/>
    <xf numFmtId="0" fontId="49" fillId="0" borderId="50" xfId="6" applyFont="1" applyBorder="1"/>
    <xf numFmtId="0" fontId="46" fillId="0" borderId="50" xfId="6" applyFont="1" applyBorder="1"/>
    <xf numFmtId="0" fontId="46" fillId="0" borderId="45" xfId="6" applyFont="1" applyBorder="1"/>
    <xf numFmtId="0" fontId="46" fillId="0" borderId="50" xfId="6" applyFont="1" applyFill="1" applyBorder="1"/>
    <xf numFmtId="0" fontId="46" fillId="0" borderId="0" xfId="6" applyFont="1" applyAlignment="1">
      <alignment wrapText="1"/>
    </xf>
    <xf numFmtId="0" fontId="46" fillId="0" borderId="0" xfId="6" applyFont="1" applyBorder="1"/>
    <xf numFmtId="9" fontId="46" fillId="0" borderId="0" xfId="2" applyFont="1"/>
    <xf numFmtId="0" fontId="47" fillId="0" borderId="1" xfId="6" applyFont="1" applyBorder="1"/>
    <xf numFmtId="0" fontId="46" fillId="0" borderId="1" xfId="6" applyFont="1" applyBorder="1"/>
    <xf numFmtId="0" fontId="47" fillId="0" borderId="1" xfId="6" applyFont="1" applyFill="1" applyBorder="1"/>
    <xf numFmtId="0" fontId="47" fillId="0" borderId="0" xfId="6" applyFont="1" applyBorder="1" applyAlignment="1">
      <alignment horizontal="center"/>
    </xf>
    <xf numFmtId="0" fontId="47" fillId="0" borderId="0" xfId="6" applyFont="1" applyBorder="1"/>
    <xf numFmtId="9" fontId="46" fillId="0" borderId="1" xfId="6" applyNumberFormat="1" applyFont="1" applyFill="1" applyBorder="1"/>
    <xf numFmtId="9" fontId="1" fillId="0" borderId="0" xfId="2" applyFont="1" applyBorder="1" applyAlignment="1"/>
    <xf numFmtId="167" fontId="1" fillId="0" borderId="0" xfId="2" applyNumberFormat="1" applyFont="1" applyBorder="1" applyAlignment="1"/>
    <xf numFmtId="0" fontId="46" fillId="0" borderId="1" xfId="6" applyFont="1" applyFill="1" applyBorder="1"/>
    <xf numFmtId="1" fontId="47" fillId="0" borderId="0" xfId="6" applyNumberFormat="1" applyFont="1" applyFill="1"/>
    <xf numFmtId="0" fontId="50" fillId="0" borderId="1" xfId="6" applyFont="1" applyBorder="1" applyAlignment="1">
      <alignment horizontal="right"/>
    </xf>
    <xf numFmtId="9" fontId="46" fillId="0" borderId="1" xfId="6" applyNumberFormat="1" applyFont="1" applyBorder="1"/>
    <xf numFmtId="1" fontId="46" fillId="0" borderId="0" xfId="6" applyNumberFormat="1" applyFont="1" applyFill="1"/>
    <xf numFmtId="9" fontId="46" fillId="0" borderId="0" xfId="2" applyFont="1" applyFill="1"/>
    <xf numFmtId="2" fontId="50" fillId="0" borderId="1" xfId="6" quotePrefix="1" applyNumberFormat="1" applyFont="1" applyFill="1" applyBorder="1" applyAlignment="1">
      <alignment horizontal="right"/>
    </xf>
    <xf numFmtId="0" fontId="50" fillId="0" borderId="1" xfId="6" applyFont="1" applyFill="1" applyBorder="1" applyAlignment="1">
      <alignment horizontal="right"/>
    </xf>
    <xf numFmtId="9" fontId="46" fillId="0" borderId="0" xfId="6" applyNumberFormat="1" applyFont="1" applyBorder="1"/>
    <xf numFmtId="2" fontId="46" fillId="0" borderId="0" xfId="6" applyNumberFormat="1" applyFont="1" applyBorder="1"/>
    <xf numFmtId="0" fontId="46" fillId="0" borderId="0" xfId="6" applyFont="1" applyBorder="1" applyAlignment="1">
      <alignment horizontal="center"/>
    </xf>
    <xf numFmtId="2" fontId="46" fillId="0" borderId="0" xfId="6" applyNumberFormat="1" applyFont="1" applyBorder="1" applyAlignment="1">
      <alignment horizontal="right"/>
    </xf>
    <xf numFmtId="165" fontId="1" fillId="0" borderId="0" xfId="8" applyNumberFormat="1" applyFont="1" applyBorder="1" applyAlignment="1">
      <alignment horizontal="right"/>
    </xf>
    <xf numFmtId="0" fontId="1" fillId="0" borderId="0" xfId="8" applyNumberFormat="1" applyFont="1" applyBorder="1" applyAlignment="1">
      <alignment horizontal="right"/>
    </xf>
    <xf numFmtId="1" fontId="46" fillId="0" borderId="0" xfId="6" applyNumberFormat="1" applyFont="1" applyBorder="1"/>
    <xf numFmtId="3" fontId="46" fillId="0" borderId="0" xfId="6" applyNumberFormat="1" applyFont="1" applyBorder="1" applyAlignment="1">
      <alignment horizontal="right"/>
    </xf>
    <xf numFmtId="165" fontId="46" fillId="0" borderId="0" xfId="8" applyNumberFormat="1" applyFont="1" applyFill="1" applyBorder="1" applyAlignment="1">
      <alignment horizontal="right"/>
    </xf>
    <xf numFmtId="167" fontId="46" fillId="0" borderId="1" xfId="2" applyNumberFormat="1" applyFont="1" applyBorder="1"/>
    <xf numFmtId="9" fontId="1" fillId="0" borderId="0" xfId="2" applyFont="1" applyFill="1" applyBorder="1" applyAlignment="1"/>
    <xf numFmtId="2" fontId="50" fillId="0" borderId="1" xfId="6" quotePrefix="1" applyNumberFormat="1" applyFont="1" applyBorder="1" applyAlignment="1">
      <alignment horizontal="right"/>
    </xf>
    <xf numFmtId="1" fontId="46" fillId="0" borderId="0" xfId="6" applyNumberFormat="1" applyFont="1"/>
    <xf numFmtId="3" fontId="47" fillId="0" borderId="0" xfId="6" applyNumberFormat="1" applyFont="1" applyBorder="1"/>
    <xf numFmtId="3" fontId="47" fillId="0" borderId="0" xfId="6" applyNumberFormat="1" applyFont="1" applyBorder="1" applyAlignment="1">
      <alignment horizontal="left"/>
    </xf>
    <xf numFmtId="0" fontId="46" fillId="0" borderId="20" xfId="6" applyFont="1" applyBorder="1"/>
    <xf numFmtId="0" fontId="46" fillId="0" borderId="20" xfId="6" applyFont="1" applyBorder="1" applyAlignment="1">
      <alignment horizontal="center"/>
    </xf>
    <xf numFmtId="0" fontId="46" fillId="0" borderId="35" xfId="6" applyFont="1" applyBorder="1" applyAlignment="1">
      <alignment horizontal="center"/>
    </xf>
    <xf numFmtId="0" fontId="46" fillId="0" borderId="26" xfId="6" applyFont="1" applyBorder="1"/>
    <xf numFmtId="0" fontId="46" fillId="0" borderId="26" xfId="6" applyFont="1" applyBorder="1" applyAlignment="1">
      <alignment horizontal="center"/>
    </xf>
    <xf numFmtId="0" fontId="46" fillId="0" borderId="24" xfId="6" applyFont="1" applyBorder="1" applyAlignment="1">
      <alignment horizontal="center"/>
    </xf>
    <xf numFmtId="0" fontId="46" fillId="0" borderId="26" xfId="6" applyFont="1" applyFill="1" applyBorder="1" applyAlignment="1">
      <alignment horizontal="center"/>
    </xf>
    <xf numFmtId="1" fontId="46" fillId="0" borderId="86" xfId="6" applyNumberFormat="1" applyFont="1" applyBorder="1" applyAlignment="1">
      <alignment horizontal="left"/>
    </xf>
    <xf numFmtId="2" fontId="46" fillId="0" borderId="85" xfId="6" applyNumberFormat="1" applyFont="1" applyBorder="1"/>
    <xf numFmtId="2" fontId="46" fillId="0" borderId="86" xfId="6" applyNumberFormat="1" applyFont="1" applyBorder="1" applyAlignment="1">
      <alignment horizontal="right"/>
    </xf>
    <xf numFmtId="165" fontId="1" fillId="0" borderId="86" xfId="8" applyNumberFormat="1" applyFont="1" applyBorder="1" applyAlignment="1">
      <alignment horizontal="right"/>
    </xf>
    <xf numFmtId="9" fontId="46" fillId="0" borderId="85" xfId="11" applyFont="1" applyBorder="1" applyAlignment="1"/>
    <xf numFmtId="165" fontId="46" fillId="0" borderId="86" xfId="8" applyNumberFormat="1" applyFont="1" applyFill="1" applyBorder="1" applyAlignment="1">
      <alignment horizontal="right"/>
    </xf>
    <xf numFmtId="1" fontId="46" fillId="0" borderId="86" xfId="6" applyNumberFormat="1" applyFont="1" applyBorder="1"/>
    <xf numFmtId="3" fontId="46" fillId="0" borderId="84" xfId="6" applyNumberFormat="1" applyFont="1" applyBorder="1" applyAlignment="1">
      <alignment horizontal="right"/>
    </xf>
    <xf numFmtId="1" fontId="46" fillId="0" borderId="86" xfId="6" applyNumberFormat="1" applyFont="1" applyFill="1" applyBorder="1" applyAlignment="1">
      <alignment horizontal="left"/>
    </xf>
    <xf numFmtId="2" fontId="46" fillId="0" borderId="86" xfId="6" applyNumberFormat="1" applyFont="1" applyFill="1" applyBorder="1" applyAlignment="1">
      <alignment horizontal="right"/>
    </xf>
    <xf numFmtId="165" fontId="1" fillId="0" borderId="86" xfId="8" applyNumberFormat="1" applyFont="1" applyFill="1" applyBorder="1" applyAlignment="1">
      <alignment horizontal="right"/>
    </xf>
    <xf numFmtId="9" fontId="46" fillId="0" borderId="85" xfId="11" applyFont="1" applyFill="1" applyBorder="1" applyAlignment="1"/>
    <xf numFmtId="1" fontId="46" fillId="0" borderId="86" xfId="6" applyNumberFormat="1" applyFont="1" applyFill="1" applyBorder="1"/>
    <xf numFmtId="3" fontId="46" fillId="0" borderId="84" xfId="6" applyNumberFormat="1" applyFont="1" applyFill="1" applyBorder="1" applyAlignment="1">
      <alignment horizontal="right"/>
    </xf>
    <xf numFmtId="164" fontId="46" fillId="0" borderId="0" xfId="6" applyNumberFormat="1" applyFont="1" applyFill="1"/>
    <xf numFmtId="2" fontId="46" fillId="0" borderId="0" xfId="2" applyNumberFormat="1" applyFont="1" applyFill="1"/>
    <xf numFmtId="1" fontId="46" fillId="7" borderId="86" xfId="6" applyNumberFormat="1" applyFont="1" applyFill="1" applyBorder="1" applyAlignment="1">
      <alignment horizontal="left"/>
    </xf>
    <xf numFmtId="2" fontId="46" fillId="7" borderId="86" xfId="6" applyNumberFormat="1" applyFont="1" applyFill="1" applyBorder="1" applyAlignment="1">
      <alignment horizontal="right"/>
    </xf>
    <xf numFmtId="170" fontId="46" fillId="7" borderId="86" xfId="1" applyNumberFormat="1" applyFont="1" applyFill="1" applyBorder="1" applyAlignment="1">
      <alignment horizontal="right"/>
    </xf>
    <xf numFmtId="9" fontId="46" fillId="7" borderId="86" xfId="9" applyFont="1" applyFill="1" applyBorder="1"/>
    <xf numFmtId="165" fontId="46" fillId="7" borderId="86" xfId="8" applyNumberFormat="1" applyFont="1" applyFill="1" applyBorder="1" applyAlignment="1">
      <alignment horizontal="right"/>
    </xf>
    <xf numFmtId="1" fontId="46" fillId="7" borderId="86" xfId="6" applyNumberFormat="1" applyFont="1" applyFill="1" applyBorder="1"/>
    <xf numFmtId="3" fontId="46" fillId="7" borderId="84" xfId="6" applyNumberFormat="1" applyFont="1" applyFill="1" applyBorder="1" applyAlignment="1">
      <alignment horizontal="right"/>
    </xf>
    <xf numFmtId="2" fontId="46" fillId="7" borderId="0" xfId="6" applyNumberFormat="1" applyFont="1" applyFill="1" applyAlignment="1">
      <alignment horizontal="right"/>
    </xf>
    <xf numFmtId="166" fontId="46" fillId="0" borderId="0" xfId="6" applyNumberFormat="1" applyFont="1"/>
    <xf numFmtId="3" fontId="47" fillId="0" borderId="1" xfId="6" applyNumberFormat="1" applyFont="1" applyBorder="1"/>
    <xf numFmtId="2" fontId="46" fillId="0" borderId="0" xfId="6" applyNumberFormat="1" applyFont="1"/>
    <xf numFmtId="0" fontId="47" fillId="0" borderId="2" xfId="6" applyFont="1" applyBorder="1"/>
    <xf numFmtId="3" fontId="47" fillId="0" borderId="3" xfId="6" applyNumberFormat="1" applyFont="1" applyBorder="1" applyAlignment="1">
      <alignment horizontal="left"/>
    </xf>
    <xf numFmtId="2" fontId="46" fillId="0" borderId="0" xfId="6" applyNumberFormat="1" applyFont="1" applyAlignment="1">
      <alignment horizontal="left"/>
    </xf>
    <xf numFmtId="0" fontId="46" fillId="4" borderId="9" xfId="3" applyFont="1" applyFill="1" applyBorder="1" applyAlignment="1"/>
    <xf numFmtId="0" fontId="64" fillId="0" borderId="0" xfId="3" applyFont="1" applyAlignment="1"/>
    <xf numFmtId="0" fontId="29" fillId="0" borderId="10" xfId="3" applyFont="1" applyBorder="1" applyAlignment="1"/>
    <xf numFmtId="0" fontId="47" fillId="0" borderId="27" xfId="0" applyFont="1" applyBorder="1" applyAlignment="1">
      <alignment horizontal="center"/>
    </xf>
    <xf numFmtId="0" fontId="46" fillId="8" borderId="40" xfId="3" applyFont="1" applyFill="1" applyBorder="1" applyAlignment="1"/>
    <xf numFmtId="0" fontId="47" fillId="8" borderId="27" xfId="3" applyFont="1" applyFill="1" applyBorder="1" applyAlignment="1">
      <alignment horizontal="left"/>
    </xf>
    <xf numFmtId="0" fontId="46" fillId="8" borderId="43" xfId="3" applyFont="1" applyFill="1" applyBorder="1" applyAlignment="1"/>
    <xf numFmtId="0" fontId="46" fillId="0" borderId="51" xfId="0" applyFont="1" applyBorder="1" applyAlignment="1">
      <alignment horizontal="center"/>
    </xf>
    <xf numFmtId="0" fontId="46" fillId="0" borderId="52" xfId="0" applyFont="1" applyBorder="1" applyAlignment="1">
      <alignment horizontal="center"/>
    </xf>
    <xf numFmtId="0" fontId="46" fillId="0" borderId="88" xfId="0" applyFont="1" applyBorder="1" applyAlignment="1">
      <alignment horizontal="center"/>
    </xf>
    <xf numFmtId="0" fontId="46" fillId="8" borderId="38" xfId="0" applyFont="1" applyFill="1" applyBorder="1" applyAlignment="1">
      <alignment horizontal="left"/>
    </xf>
    <xf numFmtId="0" fontId="46" fillId="0" borderId="53" xfId="0" applyFont="1" applyBorder="1" applyAlignment="1">
      <alignment horizontal="center"/>
    </xf>
    <xf numFmtId="0" fontId="46" fillId="0" borderId="89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8" borderId="39" xfId="0" applyFont="1" applyFill="1" applyBorder="1" applyAlignment="1">
      <alignment horizontal="left"/>
    </xf>
    <xf numFmtId="0" fontId="46" fillId="0" borderId="54" xfId="0" applyFont="1" applyBorder="1" applyAlignment="1">
      <alignment horizontal="center"/>
    </xf>
    <xf numFmtId="0" fontId="46" fillId="0" borderId="90" xfId="0" applyFont="1" applyBorder="1" applyAlignment="1">
      <alignment horizontal="center"/>
    </xf>
    <xf numFmtId="0" fontId="47" fillId="8" borderId="39" xfId="3" applyFont="1" applyFill="1" applyBorder="1" applyAlignment="1"/>
    <xf numFmtId="0" fontId="46" fillId="9" borderId="3" xfId="0" applyFont="1" applyFill="1" applyBorder="1" applyAlignment="1">
      <alignment horizontal="center"/>
    </xf>
    <xf numFmtId="49" fontId="46" fillId="9" borderId="1" xfId="0" applyNumberFormat="1" applyFont="1" applyFill="1" applyBorder="1" applyAlignment="1">
      <alignment horizontal="center"/>
    </xf>
    <xf numFmtId="49" fontId="46" fillId="9" borderId="2" xfId="0" applyNumberFormat="1" applyFont="1" applyFill="1" applyBorder="1" applyAlignment="1">
      <alignment horizontal="center"/>
    </xf>
    <xf numFmtId="49" fontId="47" fillId="8" borderId="43" xfId="0" applyNumberFormat="1" applyFont="1" applyFill="1" applyBorder="1" applyAlignment="1">
      <alignment horizontal="left"/>
    </xf>
    <xf numFmtId="49" fontId="46" fillId="9" borderId="34" xfId="0" applyNumberFormat="1" applyFont="1" applyFill="1" applyBorder="1" applyAlignment="1">
      <alignment horizontal="center"/>
    </xf>
    <xf numFmtId="0" fontId="46" fillId="9" borderId="82" xfId="0" applyFont="1" applyFill="1" applyBorder="1" applyAlignment="1">
      <alignment horizontal="center"/>
    </xf>
    <xf numFmtId="0" fontId="46" fillId="0" borderId="0" xfId="3" applyFont="1" applyAlignment="1">
      <alignment horizontal="center"/>
    </xf>
    <xf numFmtId="0" fontId="46" fillId="8" borderId="39" xfId="3" applyFont="1" applyFill="1" applyBorder="1" applyAlignment="1"/>
    <xf numFmtId="0" fontId="49" fillId="0" borderId="59" xfId="3" applyFont="1" applyBorder="1" applyAlignment="1">
      <alignment horizontal="center" vertical="center"/>
    </xf>
    <xf numFmtId="0" fontId="49" fillId="8" borderId="40" xfId="3" applyFont="1" applyFill="1" applyBorder="1" applyAlignment="1">
      <alignment horizontal="left" vertical="center"/>
    </xf>
    <xf numFmtId="0" fontId="47" fillId="8" borderId="42" xfId="3" applyFont="1" applyFill="1" applyBorder="1" applyAlignment="1"/>
    <xf numFmtId="0" fontId="46" fillId="0" borderId="35" xfId="3" applyFont="1" applyBorder="1" applyAlignment="1">
      <alignment horizontal="right"/>
    </xf>
    <xf numFmtId="0" fontId="46" fillId="0" borderId="23" xfId="3" applyFont="1" applyBorder="1" applyAlignment="1">
      <alignment horizontal="right"/>
    </xf>
    <xf numFmtId="0" fontId="47" fillId="8" borderId="42" xfId="3" applyFont="1" applyFill="1" applyBorder="1" applyAlignment="1">
      <alignment horizontal="left"/>
    </xf>
    <xf numFmtId="0" fontId="46" fillId="0" borderId="64" xfId="3" applyFont="1" applyBorder="1" applyAlignment="1">
      <alignment horizontal="right"/>
    </xf>
    <xf numFmtId="0" fontId="46" fillId="0" borderId="91" xfId="3" applyFont="1" applyBorder="1" applyAlignment="1">
      <alignment horizontal="right"/>
    </xf>
    <xf numFmtId="0" fontId="47" fillId="8" borderId="92" xfId="3" applyFont="1" applyFill="1" applyBorder="1" applyAlignment="1">
      <alignment horizontal="left"/>
    </xf>
    <xf numFmtId="0" fontId="46" fillId="8" borderId="42" xfId="3" applyFont="1" applyFill="1" applyBorder="1" applyAlignment="1"/>
    <xf numFmtId="2" fontId="46" fillId="0" borderId="64" xfId="3" applyNumberFormat="1" applyFont="1" applyBorder="1" applyAlignment="1">
      <alignment horizontal="right"/>
    </xf>
    <xf numFmtId="0" fontId="46" fillId="0" borderId="24" xfId="3" applyFont="1" applyBorder="1" applyAlignment="1">
      <alignment horizontal="right"/>
    </xf>
    <xf numFmtId="1" fontId="46" fillId="8" borderId="92" xfId="3" applyNumberFormat="1" applyFont="1" applyFill="1" applyBorder="1" applyAlignment="1">
      <alignment horizontal="left"/>
    </xf>
    <xf numFmtId="9" fontId="46" fillId="0" borderId="93" xfId="2" applyFont="1" applyBorder="1" applyAlignment="1">
      <alignment horizontal="right"/>
    </xf>
    <xf numFmtId="9" fontId="46" fillId="0" borderId="67" xfId="2" applyFont="1" applyBorder="1" applyAlignment="1">
      <alignment horizontal="right"/>
    </xf>
    <xf numFmtId="2" fontId="46" fillId="0" borderId="67" xfId="3" applyNumberFormat="1" applyFont="1" applyBorder="1" applyAlignment="1">
      <alignment horizontal="right"/>
    </xf>
    <xf numFmtId="9" fontId="47" fillId="8" borderId="66" xfId="2" applyFont="1" applyFill="1" applyBorder="1" applyAlignment="1">
      <alignment horizontal="left"/>
    </xf>
    <xf numFmtId="9" fontId="46" fillId="8" borderId="66" xfId="2" applyFont="1" applyFill="1" applyBorder="1" applyAlignment="1">
      <alignment horizontal="left"/>
    </xf>
    <xf numFmtId="2" fontId="46" fillId="0" borderId="73" xfId="3" applyNumberFormat="1" applyFont="1" applyBorder="1" applyAlignment="1"/>
    <xf numFmtId="2" fontId="46" fillId="0" borderId="21" xfId="3" applyNumberFormat="1" applyFont="1" applyBorder="1" applyAlignment="1"/>
    <xf numFmtId="2" fontId="46" fillId="0" borderId="62" xfId="3" applyNumberFormat="1" applyFont="1" applyBorder="1" applyAlignment="1"/>
    <xf numFmtId="2" fontId="46" fillId="0" borderId="70" xfId="3" applyNumberFormat="1" applyFont="1" applyBorder="1" applyAlignment="1">
      <alignment horizontal="right"/>
    </xf>
    <xf numFmtId="2" fontId="46" fillId="0" borderId="94" xfId="3" applyNumberFormat="1" applyFont="1" applyBorder="1" applyAlignment="1">
      <alignment horizontal="right"/>
    </xf>
    <xf numFmtId="2" fontId="47" fillId="8" borderId="69" xfId="3" applyNumberFormat="1" applyFont="1" applyFill="1" applyBorder="1" applyAlignment="1">
      <alignment horizontal="left"/>
    </xf>
    <xf numFmtId="2" fontId="46" fillId="0" borderId="64" xfId="3" applyNumberFormat="1" applyFont="1" applyBorder="1" applyAlignment="1">
      <alignment horizontal="center"/>
    </xf>
    <xf numFmtId="2" fontId="46" fillId="0" borderId="67" xfId="3" applyNumberFormat="1" applyFont="1" applyBorder="1" applyAlignment="1">
      <alignment horizontal="center"/>
    </xf>
    <xf numFmtId="0" fontId="47" fillId="8" borderId="41" xfId="3" applyFont="1" applyFill="1" applyBorder="1" applyAlignment="1"/>
    <xf numFmtId="0" fontId="46" fillId="0" borderId="2" xfId="3" applyFont="1" applyBorder="1" applyAlignment="1"/>
    <xf numFmtId="0" fontId="46" fillId="8" borderId="48" xfId="3" applyFont="1" applyFill="1" applyBorder="1" applyAlignment="1">
      <alignment horizontal="left"/>
    </xf>
    <xf numFmtId="0" fontId="67" fillId="4" borderId="118" xfId="6" applyFont="1" applyFill="1" applyBorder="1"/>
    <xf numFmtId="0" fontId="67" fillId="4" borderId="119" xfId="6" applyFont="1" applyFill="1" applyBorder="1"/>
    <xf numFmtId="0" fontId="46" fillId="0" borderId="119" xfId="6" applyFont="1" applyBorder="1"/>
    <xf numFmtId="0" fontId="46" fillId="0" borderId="120" xfId="6" applyFont="1" applyBorder="1"/>
    <xf numFmtId="0" fontId="46" fillId="0" borderId="121" xfId="6" applyFont="1" applyBorder="1"/>
    <xf numFmtId="0" fontId="46" fillId="0" borderId="122" xfId="6" applyFont="1" applyBorder="1"/>
    <xf numFmtId="0" fontId="46" fillId="0" borderId="123" xfId="6" applyFont="1" applyBorder="1"/>
    <xf numFmtId="0" fontId="46" fillId="4" borderId="121" xfId="6" applyFont="1" applyFill="1" applyBorder="1" applyAlignment="1">
      <alignment horizontal="center" wrapText="1"/>
    </xf>
    <xf numFmtId="0" fontId="46" fillId="4" borderId="122" xfId="6" applyFont="1" applyFill="1" applyBorder="1" applyAlignment="1">
      <alignment horizontal="center" vertical="center" wrapText="1"/>
    </xf>
    <xf numFmtId="0" fontId="46" fillId="4" borderId="123" xfId="6" applyFont="1" applyFill="1" applyBorder="1" applyAlignment="1">
      <alignment horizontal="center" vertical="center" wrapText="1"/>
    </xf>
    <xf numFmtId="165" fontId="46" fillId="0" borderId="0" xfId="6" applyNumberFormat="1" applyFont="1"/>
    <xf numFmtId="164" fontId="46" fillId="0" borderId="0" xfId="6" applyNumberFormat="1" applyFont="1"/>
    <xf numFmtId="0" fontId="46" fillId="0" borderId="13" xfId="6" applyFont="1" applyBorder="1"/>
    <xf numFmtId="0" fontId="42" fillId="15" borderId="0" xfId="6" applyFont="1" applyFill="1"/>
    <xf numFmtId="0" fontId="46" fillId="15" borderId="0" xfId="6" applyFont="1" applyFill="1"/>
    <xf numFmtId="0" fontId="42" fillId="15" borderId="0" xfId="6" applyFont="1" applyFill="1" applyAlignment="1">
      <alignment horizontal="center"/>
    </xf>
    <xf numFmtId="165" fontId="42" fillId="0" borderId="0" xfId="6" applyNumberFormat="1" applyFont="1"/>
    <xf numFmtId="0" fontId="42" fillId="0" borderId="0" xfId="6" applyFont="1"/>
    <xf numFmtId="3" fontId="46" fillId="0" borderId="0" xfId="6" applyNumberFormat="1" applyFont="1"/>
    <xf numFmtId="165" fontId="42" fillId="18" borderId="0" xfId="6" applyNumberFormat="1" applyFont="1" applyFill="1"/>
    <xf numFmtId="0" fontId="34" fillId="0" borderId="0" xfId="22" applyFont="1"/>
    <xf numFmtId="0" fontId="36" fillId="0" borderId="38" xfId="22" applyFont="1" applyBorder="1" applyAlignment="1">
      <alignment horizontal="center"/>
    </xf>
    <xf numFmtId="0" fontId="36" fillId="0" borderId="13" xfId="22" applyFont="1" applyBorder="1"/>
    <xf numFmtId="0" fontId="36" fillId="0" borderId="32" xfId="22" applyFont="1" applyBorder="1" applyAlignment="1">
      <alignment horizontal="left"/>
    </xf>
    <xf numFmtId="0" fontId="36" fillId="0" borderId="32" xfId="22" applyFont="1" applyBorder="1"/>
    <xf numFmtId="0" fontId="36" fillId="0" borderId="33" xfId="22" applyFont="1" applyBorder="1"/>
    <xf numFmtId="0" fontId="36" fillId="0" borderId="13" xfId="22" applyFont="1" applyBorder="1" applyAlignment="1">
      <alignment horizontal="center" vertical="center"/>
    </xf>
    <xf numFmtId="0" fontId="68" fillId="0" borderId="10" xfId="23" applyFont="1" applyBorder="1" applyAlignment="1">
      <alignment vertical="center"/>
    </xf>
    <xf numFmtId="0" fontId="68" fillId="0" borderId="0" xfId="23" applyFont="1" applyAlignment="1">
      <alignment vertical="center"/>
    </xf>
    <xf numFmtId="0" fontId="68" fillId="0" borderId="31" xfId="23" applyFont="1" applyBorder="1" applyAlignment="1">
      <alignment vertical="center"/>
    </xf>
    <xf numFmtId="43" fontId="68" fillId="0" borderId="19" xfId="7" applyFont="1" applyBorder="1" applyAlignment="1">
      <alignment vertical="center"/>
    </xf>
    <xf numFmtId="43" fontId="68" fillId="0" borderId="7" xfId="7" applyFont="1" applyBorder="1" applyAlignment="1">
      <alignment vertical="center"/>
    </xf>
    <xf numFmtId="170" fontId="68" fillId="0" borderId="7" xfId="24" applyNumberFormat="1" applyFont="1" applyBorder="1" applyAlignment="1">
      <alignment vertical="center"/>
    </xf>
    <xf numFmtId="170" fontId="68" fillId="0" borderId="46" xfId="24" applyNumberFormat="1" applyFont="1" applyBorder="1" applyAlignment="1">
      <alignment vertical="center"/>
    </xf>
    <xf numFmtId="0" fontId="36" fillId="0" borderId="39" xfId="22" applyFont="1" applyBorder="1" applyAlignment="1">
      <alignment horizontal="center"/>
    </xf>
    <xf numFmtId="0" fontId="68" fillId="0" borderId="79" xfId="23" applyFont="1" applyBorder="1" applyAlignment="1">
      <alignment vertical="center"/>
    </xf>
    <xf numFmtId="0" fontId="68" fillId="0" borderId="40" xfId="23" applyFont="1" applyBorder="1" applyAlignment="1">
      <alignment horizontal="left" vertical="center"/>
    </xf>
    <xf numFmtId="0" fontId="68" fillId="0" borderId="40" xfId="23" applyFont="1" applyBorder="1" applyAlignment="1">
      <alignment vertical="center"/>
    </xf>
    <xf numFmtId="0" fontId="36" fillId="0" borderId="40" xfId="23" applyFont="1" applyBorder="1" applyAlignment="1">
      <alignment horizontal="center" vertical="center"/>
    </xf>
    <xf numFmtId="0" fontId="68" fillId="0" borderId="17" xfId="23" applyFont="1" applyBorder="1" applyAlignment="1">
      <alignment horizontal="center" vertical="center"/>
    </xf>
    <xf numFmtId="0" fontId="68" fillId="0" borderId="15" xfId="23" applyFont="1" applyBorder="1" applyAlignment="1">
      <alignment horizontal="center" vertical="center"/>
    </xf>
    <xf numFmtId="0" fontId="68" fillId="0" borderId="125" xfId="23" applyFont="1" applyBorder="1" applyAlignment="1">
      <alignment horizontal="center" vertical="center"/>
    </xf>
    <xf numFmtId="43" fontId="68" fillId="0" borderId="20" xfId="7" applyFont="1" applyBorder="1" applyAlignment="1">
      <alignment horizontal="center" vertical="center" wrapText="1"/>
    </xf>
    <xf numFmtId="170" fontId="36" fillId="0" borderId="20" xfId="23" applyNumberFormat="1" applyFont="1" applyBorder="1" applyAlignment="1">
      <alignment wrapText="1"/>
    </xf>
    <xf numFmtId="170" fontId="36" fillId="0" borderId="61" xfId="23" applyNumberFormat="1" applyFont="1" applyBorder="1" applyAlignment="1">
      <alignment wrapText="1"/>
    </xf>
    <xf numFmtId="0" fontId="36" fillId="0" borderId="0" xfId="22" applyFont="1"/>
    <xf numFmtId="0" fontId="69" fillId="0" borderId="43" xfId="23" applyFont="1" applyBorder="1" applyAlignment="1">
      <alignment horizontal="left" vertical="center"/>
    </xf>
    <xf numFmtId="0" fontId="69" fillId="0" borderId="43" xfId="23" applyFont="1" applyBorder="1" applyAlignment="1">
      <alignment horizontal="center" vertical="center"/>
    </xf>
    <xf numFmtId="0" fontId="69" fillId="0" borderId="43" xfId="23" applyFont="1" applyBorder="1" applyAlignment="1">
      <alignment horizontal="left" vertical="center" wrapText="1"/>
    </xf>
    <xf numFmtId="0" fontId="36" fillId="20" borderId="39" xfId="22" applyFont="1" applyFill="1" applyBorder="1" applyAlignment="1">
      <alignment horizontal="center"/>
    </xf>
    <xf numFmtId="0" fontId="69" fillId="20" borderId="43" xfId="23" applyFont="1" applyFill="1" applyBorder="1" applyAlignment="1">
      <alignment horizontal="left" vertical="center"/>
    </xf>
    <xf numFmtId="0" fontId="49" fillId="20" borderId="43" xfId="23" applyFont="1" applyFill="1" applyBorder="1" applyAlignment="1">
      <alignment horizontal="left" vertical="center"/>
    </xf>
    <xf numFmtId="0" fontId="69" fillId="20" borderId="43" xfId="23" applyFont="1" applyFill="1" applyBorder="1" applyAlignment="1">
      <alignment horizontal="center" vertical="center"/>
    </xf>
    <xf numFmtId="0" fontId="69" fillId="20" borderId="43" xfId="23" applyFont="1" applyFill="1" applyBorder="1" applyAlignment="1">
      <alignment horizontal="left" vertical="center" wrapText="1"/>
    </xf>
    <xf numFmtId="0" fontId="69" fillId="20" borderId="127" xfId="23" applyFont="1" applyFill="1" applyBorder="1" applyAlignment="1">
      <alignment horizontal="center" vertical="center" wrapText="1"/>
    </xf>
    <xf numFmtId="0" fontId="69" fillId="20" borderId="7" xfId="23" applyFont="1" applyFill="1" applyBorder="1" applyAlignment="1">
      <alignment horizontal="center" vertical="center" wrapText="1"/>
    </xf>
    <xf numFmtId="0" fontId="69" fillId="20" borderId="46" xfId="23" applyFont="1" applyFill="1" applyBorder="1" applyAlignment="1">
      <alignment horizontal="center" vertical="center" wrapText="1"/>
    </xf>
    <xf numFmtId="170" fontId="69" fillId="20" borderId="6" xfId="24" applyNumberFormat="1" applyFont="1" applyFill="1" applyBorder="1" applyAlignment="1">
      <alignment horizontal="center" vertical="center" wrapText="1"/>
    </xf>
    <xf numFmtId="170" fontId="69" fillId="20" borderId="0" xfId="24" applyNumberFormat="1" applyFont="1" applyFill="1" applyBorder="1" applyAlignment="1">
      <alignment horizontal="center" vertical="center" wrapText="1"/>
    </xf>
    <xf numFmtId="170" fontId="69" fillId="20" borderId="31" xfId="24" applyNumberFormat="1" applyFont="1" applyFill="1" applyBorder="1" applyAlignment="1">
      <alignment horizontal="center" vertical="center" wrapText="1"/>
    </xf>
    <xf numFmtId="0" fontId="34" fillId="20" borderId="0" xfId="22" applyFont="1" applyFill="1"/>
    <xf numFmtId="0" fontId="46" fillId="20" borderId="43" xfId="23" applyFont="1" applyFill="1" applyBorder="1" applyAlignment="1">
      <alignment horizontal="justify" vertical="center" wrapText="1"/>
    </xf>
    <xf numFmtId="0" fontId="70" fillId="20" borderId="43" xfId="23" applyFont="1" applyFill="1" applyBorder="1" applyAlignment="1">
      <alignment horizontal="justify" vertical="center" wrapText="1"/>
    </xf>
    <xf numFmtId="0" fontId="70" fillId="20" borderId="43" xfId="23" applyFont="1" applyFill="1" applyBorder="1" applyAlignment="1">
      <alignment horizontal="center" vertical="center"/>
    </xf>
    <xf numFmtId="0" fontId="34" fillId="20" borderId="43" xfId="23" applyFont="1" applyFill="1" applyBorder="1" applyAlignment="1">
      <alignment horizontal="center" vertical="center"/>
    </xf>
    <xf numFmtId="0" fontId="70" fillId="20" borderId="82" xfId="23" applyFont="1" applyFill="1" applyBorder="1" applyAlignment="1">
      <alignment horizontal="center" vertical="center" wrapText="1"/>
    </xf>
    <xf numFmtId="0" fontId="71" fillId="20" borderId="1" xfId="23" applyFont="1" applyFill="1" applyBorder="1" applyAlignment="1">
      <alignment horizontal="center" vertical="center" wrapText="1"/>
    </xf>
    <xf numFmtId="165" fontId="46" fillId="20" borderId="43" xfId="7" applyNumberFormat="1" applyFont="1" applyFill="1" applyBorder="1" applyAlignment="1">
      <alignment horizontal="center" vertical="center" wrapText="1"/>
    </xf>
    <xf numFmtId="0" fontId="70" fillId="20" borderId="1" xfId="23" applyFont="1" applyFill="1" applyBorder="1" applyAlignment="1">
      <alignment horizontal="center" vertical="center" wrapText="1"/>
    </xf>
    <xf numFmtId="0" fontId="70" fillId="20" borderId="34" xfId="23" applyFont="1" applyFill="1" applyBorder="1" applyAlignment="1">
      <alignment horizontal="center" vertical="center" wrapText="1"/>
    </xf>
    <xf numFmtId="0" fontId="34" fillId="20" borderId="43" xfId="23" applyFont="1" applyFill="1" applyBorder="1" applyAlignment="1">
      <alignment horizontal="justify" vertical="center" wrapText="1"/>
    </xf>
    <xf numFmtId="165" fontId="46" fillId="14" borderId="43" xfId="7" applyNumberFormat="1" applyFont="1" applyFill="1" applyBorder="1" applyAlignment="1">
      <alignment horizontal="center" vertical="center" wrapText="1"/>
    </xf>
    <xf numFmtId="0" fontId="72" fillId="14" borderId="0" xfId="22" applyFont="1" applyFill="1"/>
    <xf numFmtId="0" fontId="68" fillId="20" borderId="43" xfId="23" applyFont="1" applyFill="1" applyBorder="1" applyAlignment="1">
      <alignment horizontal="justify" vertical="center" wrapText="1"/>
    </xf>
    <xf numFmtId="0" fontId="68" fillId="21" borderId="43" xfId="23" applyFont="1" applyFill="1" applyBorder="1" applyAlignment="1">
      <alignment horizontal="left" vertical="center"/>
    </xf>
    <xf numFmtId="0" fontId="68" fillId="21" borderId="43" xfId="23" applyFont="1" applyFill="1" applyBorder="1" applyAlignment="1">
      <alignment horizontal="justify" vertical="center" wrapText="1"/>
    </xf>
    <xf numFmtId="0" fontId="68" fillId="21" borderId="43" xfId="23" applyFont="1" applyFill="1" applyBorder="1" applyAlignment="1">
      <alignment horizontal="center" vertical="center"/>
    </xf>
    <xf numFmtId="0" fontId="36" fillId="21" borderId="43" xfId="23" applyFont="1" applyFill="1" applyBorder="1" applyAlignment="1">
      <alignment horizontal="center" vertical="center"/>
    </xf>
    <xf numFmtId="0" fontId="68" fillId="21" borderId="43" xfId="23" applyFont="1" applyFill="1" applyBorder="1" applyAlignment="1">
      <alignment horizontal="center" vertical="center" wrapText="1"/>
    </xf>
    <xf numFmtId="0" fontId="68" fillId="21" borderId="127" xfId="23" applyFont="1" applyFill="1" applyBorder="1" applyAlignment="1">
      <alignment horizontal="center" vertical="center" wrapText="1"/>
    </xf>
    <xf numFmtId="0" fontId="68" fillId="21" borderId="7" xfId="23" applyFont="1" applyFill="1" applyBorder="1" applyAlignment="1">
      <alignment horizontal="center" vertical="center" wrapText="1"/>
    </xf>
    <xf numFmtId="0" fontId="68" fillId="21" borderId="46" xfId="23" applyFont="1" applyFill="1" applyBorder="1" applyAlignment="1">
      <alignment horizontal="center" vertical="center" wrapText="1"/>
    </xf>
    <xf numFmtId="165" fontId="68" fillId="21" borderId="10" xfId="7" applyNumberFormat="1" applyFont="1" applyFill="1" applyBorder="1" applyAlignment="1">
      <alignment horizontal="center" vertical="center" wrapText="1"/>
    </xf>
    <xf numFmtId="165" fontId="68" fillId="21" borderId="1" xfId="7" applyNumberFormat="1" applyFont="1" applyFill="1" applyBorder="1" applyAlignment="1">
      <alignment horizontal="center" vertical="center" wrapText="1"/>
    </xf>
    <xf numFmtId="0" fontId="36" fillId="20" borderId="0" xfId="22" applyFont="1" applyFill="1"/>
    <xf numFmtId="0" fontId="36" fillId="13" borderId="39" xfId="22" applyFont="1" applyFill="1" applyBorder="1" applyAlignment="1">
      <alignment horizontal="center"/>
    </xf>
    <xf numFmtId="0" fontId="69" fillId="13" borderId="43" xfId="23" applyFont="1" applyFill="1" applyBorder="1" applyAlignment="1">
      <alignment horizontal="left" vertical="center"/>
    </xf>
    <xf numFmtId="0" fontId="68" fillId="13" borderId="43" xfId="23" applyFont="1" applyFill="1" applyBorder="1" applyAlignment="1">
      <alignment horizontal="left" vertical="center"/>
    </xf>
    <xf numFmtId="0" fontId="69" fillId="13" borderId="43" xfId="23" applyFont="1" applyFill="1" applyBorder="1" applyAlignment="1">
      <alignment horizontal="center" vertical="center"/>
    </xf>
    <xf numFmtId="0" fontId="69" fillId="13" borderId="43" xfId="23" applyFont="1" applyFill="1" applyBorder="1" applyAlignment="1">
      <alignment horizontal="left" vertical="center" wrapText="1"/>
    </xf>
    <xf numFmtId="0" fontId="69" fillId="13" borderId="127" xfId="23" applyFont="1" applyFill="1" applyBorder="1" applyAlignment="1">
      <alignment horizontal="center" vertical="center" wrapText="1"/>
    </xf>
    <xf numFmtId="0" fontId="69" fillId="13" borderId="7" xfId="23" applyFont="1" applyFill="1" applyBorder="1" applyAlignment="1">
      <alignment horizontal="center" vertical="center" wrapText="1"/>
    </xf>
    <xf numFmtId="0" fontId="69" fillId="13" borderId="46" xfId="23" applyFont="1" applyFill="1" applyBorder="1" applyAlignment="1">
      <alignment horizontal="center" vertical="center" wrapText="1"/>
    </xf>
    <xf numFmtId="170" fontId="69" fillId="13" borderId="6" xfId="24" applyNumberFormat="1" applyFont="1" applyFill="1" applyBorder="1" applyAlignment="1">
      <alignment horizontal="center" vertical="center" wrapText="1"/>
    </xf>
    <xf numFmtId="170" fontId="69" fillId="13" borderId="0" xfId="24" applyNumberFormat="1" applyFont="1" applyFill="1" applyBorder="1" applyAlignment="1">
      <alignment horizontal="center" vertical="center" wrapText="1"/>
    </xf>
    <xf numFmtId="170" fontId="69" fillId="13" borderId="31" xfId="24" applyNumberFormat="1" applyFont="1" applyFill="1" applyBorder="1" applyAlignment="1">
      <alignment horizontal="center" vertical="center" wrapText="1"/>
    </xf>
    <xf numFmtId="0" fontId="34" fillId="13" borderId="0" xfId="22" applyFont="1" applyFill="1"/>
    <xf numFmtId="0" fontId="70" fillId="13" borderId="43" xfId="23" applyFont="1" applyFill="1" applyBorder="1" applyAlignment="1">
      <alignment horizontal="justify" vertical="center" wrapText="1"/>
    </xf>
    <xf numFmtId="0" fontId="34" fillId="13" borderId="41" xfId="23" applyFont="1" applyFill="1" applyBorder="1" applyAlignment="1">
      <alignment horizontal="left" vertical="center"/>
    </xf>
    <xf numFmtId="0" fontId="34" fillId="13" borderId="43" xfId="23" applyFont="1" applyFill="1" applyBorder="1" applyAlignment="1">
      <alignment horizontal="center" vertical="center"/>
    </xf>
    <xf numFmtId="0" fontId="70" fillId="13" borderId="43" xfId="23" applyFont="1" applyFill="1" applyBorder="1" applyAlignment="1">
      <alignment horizontal="center" vertical="center"/>
    </xf>
    <xf numFmtId="0" fontId="70" fillId="13" borderId="82" xfId="23" applyFont="1" applyFill="1" applyBorder="1" applyAlignment="1">
      <alignment horizontal="center" vertical="center"/>
    </xf>
    <xf numFmtId="0" fontId="70" fillId="13" borderId="1" xfId="23" applyFont="1" applyFill="1" applyBorder="1" applyAlignment="1">
      <alignment horizontal="center" vertical="center"/>
    </xf>
    <xf numFmtId="0" fontId="70" fillId="13" borderId="34" xfId="23" applyFont="1" applyFill="1" applyBorder="1" applyAlignment="1">
      <alignment horizontal="center" vertical="center"/>
    </xf>
    <xf numFmtId="165" fontId="70" fillId="13" borderId="43" xfId="7" applyNumberFormat="1" applyFont="1" applyFill="1" applyBorder="1" applyAlignment="1">
      <alignment horizontal="center" vertical="center"/>
    </xf>
    <xf numFmtId="0" fontId="70" fillId="13" borderId="42" xfId="23" applyFont="1" applyFill="1" applyBorder="1" applyAlignment="1">
      <alignment horizontal="justify" vertical="center" wrapText="1"/>
    </xf>
    <xf numFmtId="0" fontId="34" fillId="13" borderId="42" xfId="23" applyFont="1" applyFill="1" applyBorder="1" applyAlignment="1">
      <alignment horizontal="center" vertical="center"/>
    </xf>
    <xf numFmtId="0" fontId="70" fillId="13" borderId="42" xfId="23" applyFont="1" applyFill="1" applyBorder="1" applyAlignment="1">
      <alignment horizontal="center" vertical="center"/>
    </xf>
    <xf numFmtId="0" fontId="70" fillId="13" borderId="100" xfId="23" applyFont="1" applyFill="1" applyBorder="1" applyAlignment="1">
      <alignment horizontal="center" vertical="center"/>
    </xf>
    <xf numFmtId="0" fontId="70" fillId="13" borderId="20" xfId="23" applyFont="1" applyFill="1" applyBorder="1" applyAlignment="1">
      <alignment horizontal="center" vertical="center"/>
    </xf>
    <xf numFmtId="0" fontId="70" fillId="13" borderId="61" xfId="23" applyFont="1" applyFill="1" applyBorder="1" applyAlignment="1">
      <alignment horizontal="center" vertical="center"/>
    </xf>
    <xf numFmtId="165" fontId="70" fillId="13" borderId="11" xfId="7" applyNumberFormat="1" applyFont="1" applyFill="1" applyBorder="1" applyAlignment="1">
      <alignment horizontal="center" vertical="center"/>
    </xf>
    <xf numFmtId="165" fontId="70" fillId="13" borderId="9" xfId="7" applyNumberFormat="1" applyFont="1" applyFill="1" applyBorder="1" applyAlignment="1">
      <alignment horizontal="center" vertical="center"/>
    </xf>
    <xf numFmtId="0" fontId="36" fillId="13" borderId="48" xfId="22" applyFont="1" applyFill="1" applyBorder="1" applyAlignment="1">
      <alignment horizontal="center"/>
    </xf>
    <xf numFmtId="0" fontId="70" fillId="13" borderId="41" xfId="23" applyFont="1" applyFill="1" applyBorder="1" applyAlignment="1">
      <alignment horizontal="justify" vertical="center"/>
    </xf>
    <xf numFmtId="0" fontId="34" fillId="13" borderId="41" xfId="23" applyFont="1" applyFill="1" applyBorder="1" applyAlignment="1">
      <alignment horizontal="center" vertical="center"/>
    </xf>
    <xf numFmtId="0" fontId="70" fillId="13" borderId="41" xfId="23" applyFont="1" applyFill="1" applyBorder="1" applyAlignment="1">
      <alignment horizontal="center" vertical="center"/>
    </xf>
    <xf numFmtId="0" fontId="70" fillId="13" borderId="124" xfId="23" applyFont="1" applyFill="1" applyBorder="1" applyAlignment="1">
      <alignment horizontal="center" vertical="center"/>
    </xf>
    <xf numFmtId="0" fontId="70" fillId="13" borderId="14" xfId="23" applyFont="1" applyFill="1" applyBorder="1" applyAlignment="1">
      <alignment horizontal="center" vertical="center"/>
    </xf>
    <xf numFmtId="0" fontId="70" fillId="13" borderId="83" xfId="23" applyFont="1" applyFill="1" applyBorder="1" applyAlignment="1">
      <alignment horizontal="center" vertical="center"/>
    </xf>
    <xf numFmtId="165" fontId="70" fillId="13" borderId="126" xfId="7" applyNumberFormat="1" applyFont="1" applyFill="1" applyBorder="1" applyAlignment="1">
      <alignment horizontal="center" vertical="center"/>
    </xf>
    <xf numFmtId="165" fontId="70" fillId="13" borderId="1" xfId="7" applyNumberFormat="1" applyFont="1" applyFill="1" applyBorder="1" applyAlignment="1">
      <alignment horizontal="center" vertical="center" wrapText="1"/>
    </xf>
    <xf numFmtId="0" fontId="49" fillId="22" borderId="43" xfId="23" applyFont="1" applyFill="1" applyBorder="1" applyAlignment="1">
      <alignment horizontal="left" vertical="center"/>
    </xf>
    <xf numFmtId="0" fontId="69" fillId="22" borderId="43" xfId="23" applyFont="1" applyFill="1" applyBorder="1" applyAlignment="1">
      <alignment horizontal="left" vertical="center"/>
    </xf>
    <xf numFmtId="0" fontId="69" fillId="22" borderId="43" xfId="23" applyFont="1" applyFill="1" applyBorder="1" applyAlignment="1">
      <alignment horizontal="center" vertical="center"/>
    </xf>
    <xf numFmtId="0" fontId="69" fillId="22" borderId="43" xfId="23" applyFont="1" applyFill="1" applyBorder="1" applyAlignment="1">
      <alignment horizontal="left" vertical="center" wrapText="1"/>
    </xf>
    <xf numFmtId="0" fontId="69" fillId="22" borderId="127" xfId="23" applyFont="1" applyFill="1" applyBorder="1" applyAlignment="1">
      <alignment horizontal="center" vertical="center" wrapText="1"/>
    </xf>
    <xf numFmtId="0" fontId="69" fillId="22" borderId="7" xfId="23" applyFont="1" applyFill="1" applyBorder="1" applyAlignment="1">
      <alignment horizontal="center" vertical="center" wrapText="1"/>
    </xf>
    <xf numFmtId="0" fontId="69" fillId="22" borderId="46" xfId="23" applyFont="1" applyFill="1" applyBorder="1" applyAlignment="1">
      <alignment horizontal="center" vertical="center" wrapText="1"/>
    </xf>
    <xf numFmtId="165" fontId="69" fillId="22" borderId="6" xfId="7" applyNumberFormat="1" applyFont="1" applyFill="1" applyBorder="1" applyAlignment="1">
      <alignment horizontal="center" vertical="center" wrapText="1"/>
    </xf>
    <xf numFmtId="165" fontId="69" fillId="22" borderId="0" xfId="7" applyNumberFormat="1" applyFont="1" applyFill="1" applyBorder="1" applyAlignment="1">
      <alignment horizontal="center" vertical="center" wrapText="1"/>
    </xf>
    <xf numFmtId="165" fontId="69" fillId="22" borderId="31" xfId="7" applyNumberFormat="1" applyFont="1" applyFill="1" applyBorder="1" applyAlignment="1">
      <alignment horizontal="center" vertical="center" wrapText="1"/>
    </xf>
    <xf numFmtId="0" fontId="36" fillId="22" borderId="39" xfId="22" applyFont="1" applyFill="1" applyBorder="1" applyAlignment="1">
      <alignment horizontal="center"/>
    </xf>
    <xf numFmtId="0" fontId="34" fillId="22" borderId="43" xfId="23" applyFont="1" applyFill="1" applyBorder="1" applyAlignment="1">
      <alignment horizontal="justify" vertical="center" wrapText="1"/>
    </xf>
    <xf numFmtId="0" fontId="70" fillId="22" borderId="43" xfId="23" applyFont="1" applyFill="1" applyBorder="1" applyAlignment="1">
      <alignment horizontal="left" vertical="center"/>
    </xf>
    <xf numFmtId="0" fontId="70" fillId="22" borderId="43" xfId="23" applyFont="1" applyFill="1" applyBorder="1" applyAlignment="1">
      <alignment horizontal="center" vertical="center"/>
    </xf>
    <xf numFmtId="0" fontId="34" fillId="22" borderId="43" xfId="23" applyFont="1" applyFill="1" applyBorder="1" applyAlignment="1">
      <alignment horizontal="center" vertical="center"/>
    </xf>
    <xf numFmtId="0" fontId="70" fillId="22" borderId="43" xfId="23" applyFont="1" applyFill="1" applyBorder="1" applyAlignment="1">
      <alignment horizontal="center" vertical="center" wrapText="1"/>
    </xf>
    <xf numFmtId="0" fontId="70" fillId="22" borderId="82" xfId="23" applyFont="1" applyFill="1" applyBorder="1" applyAlignment="1">
      <alignment horizontal="center" vertical="center" wrapText="1"/>
    </xf>
    <xf numFmtId="0" fontId="70" fillId="22" borderId="1" xfId="23" applyFont="1" applyFill="1" applyBorder="1" applyAlignment="1">
      <alignment horizontal="center" vertical="center" wrapText="1"/>
    </xf>
    <xf numFmtId="0" fontId="70" fillId="22" borderId="34" xfId="23" applyFont="1" applyFill="1" applyBorder="1" applyAlignment="1">
      <alignment horizontal="center" vertical="center" wrapText="1"/>
    </xf>
    <xf numFmtId="165" fontId="70" fillId="22" borderId="8" xfId="7" applyNumberFormat="1" applyFont="1" applyFill="1" applyBorder="1" applyAlignment="1">
      <alignment horizontal="center" vertical="center" wrapText="1"/>
    </xf>
    <xf numFmtId="165" fontId="34" fillId="22" borderId="1" xfId="7" applyNumberFormat="1" applyFont="1" applyFill="1" applyBorder="1" applyAlignment="1"/>
    <xf numFmtId="0" fontId="34" fillId="22" borderId="0" xfId="22" applyFont="1" applyFill="1"/>
    <xf numFmtId="0" fontId="34" fillId="0" borderId="0" xfId="22" applyFont="1" applyAlignment="1">
      <alignment horizontal="left"/>
    </xf>
    <xf numFmtId="0" fontId="34" fillId="0" borderId="0" xfId="22" applyFont="1" applyAlignment="1">
      <alignment horizontal="center" vertical="center"/>
    </xf>
    <xf numFmtId="43" fontId="34" fillId="0" borderId="0" xfId="7" applyFont="1" applyAlignment="1"/>
    <xf numFmtId="173" fontId="34" fillId="0" borderId="0" xfId="7" applyNumberFormat="1" applyFont="1" applyAlignment="1"/>
    <xf numFmtId="0" fontId="72" fillId="14" borderId="0" xfId="22" applyFont="1" applyFill="1" applyAlignment="1">
      <alignment horizontal="left"/>
    </xf>
    <xf numFmtId="0" fontId="56" fillId="23" borderId="0" xfId="25" applyFont="1" applyFill="1" applyAlignment="1">
      <alignment horizontal="left" vertical="center" wrapText="1"/>
    </xf>
    <xf numFmtId="0" fontId="56" fillId="23" borderId="0" xfId="25" applyFont="1" applyFill="1" applyAlignment="1">
      <alignment vertical="center" wrapText="1"/>
    </xf>
    <xf numFmtId="0" fontId="1" fillId="0" borderId="0" xfId="25" applyFont="1" applyAlignment="1">
      <alignment vertical="center" wrapText="1"/>
    </xf>
    <xf numFmtId="0" fontId="1" fillId="0" borderId="0" xfId="25" applyFont="1" applyAlignment="1">
      <alignment horizontal="center" vertical="center" wrapText="1"/>
    </xf>
    <xf numFmtId="0" fontId="73" fillId="23" borderId="7" xfId="25" applyFont="1" applyFill="1" applyBorder="1" applyAlignment="1">
      <alignment horizontal="left" vertical="center" wrapText="1"/>
    </xf>
    <xf numFmtId="0" fontId="74" fillId="11" borderId="20" xfId="25" applyFont="1" applyFill="1" applyBorder="1" applyAlignment="1">
      <alignment horizontal="right" vertical="center" wrapText="1"/>
    </xf>
    <xf numFmtId="0" fontId="74" fillId="11" borderId="20" xfId="25" applyFont="1" applyFill="1" applyBorder="1" applyAlignment="1">
      <alignment horizontal="center" vertical="center" wrapText="1"/>
    </xf>
    <xf numFmtId="0" fontId="56" fillId="0" borderId="0" xfId="25" applyFont="1" applyAlignment="1">
      <alignment vertical="center" wrapText="1"/>
    </xf>
    <xf numFmtId="0" fontId="74" fillId="11" borderId="128" xfId="25" applyFont="1" applyFill="1" applyBorder="1" applyAlignment="1">
      <alignment horizontal="left" vertical="center" wrapText="1"/>
    </xf>
    <xf numFmtId="0" fontId="74" fillId="11" borderId="128" xfId="25" applyFont="1" applyFill="1" applyBorder="1" applyAlignment="1">
      <alignment horizontal="center" vertical="center" wrapText="1"/>
    </xf>
    <xf numFmtId="0" fontId="74" fillId="24" borderId="26" xfId="25" applyFont="1" applyFill="1" applyBorder="1" applyAlignment="1">
      <alignment horizontal="center" vertical="center" wrapText="1"/>
    </xf>
    <xf numFmtId="0" fontId="75" fillId="0" borderId="1" xfId="25" applyFont="1" applyBorder="1" applyAlignment="1">
      <alignment horizontal="center" vertical="center" wrapText="1"/>
    </xf>
    <xf numFmtId="0" fontId="75" fillId="0" borderId="1" xfId="25" applyFont="1" applyBorder="1" applyAlignment="1">
      <alignment vertical="center" wrapText="1"/>
    </xf>
    <xf numFmtId="0" fontId="75" fillId="0" borderId="1" xfId="25" applyFont="1" applyBorder="1" applyAlignment="1">
      <alignment horizontal="left" vertical="center" wrapText="1"/>
    </xf>
    <xf numFmtId="0" fontId="76" fillId="0" borderId="1" xfId="25" applyFont="1" applyBorder="1" applyAlignment="1">
      <alignment horizontal="left" vertical="center" wrapText="1"/>
    </xf>
    <xf numFmtId="0" fontId="77" fillId="24" borderId="1" xfId="25" applyFont="1" applyFill="1" applyBorder="1" applyAlignment="1">
      <alignment horizontal="center" vertical="center" wrapText="1"/>
    </xf>
    <xf numFmtId="0" fontId="74" fillId="23" borderId="0" xfId="25" applyFont="1" applyFill="1" applyAlignment="1">
      <alignment horizontal="left" vertical="center" wrapText="1"/>
    </xf>
    <xf numFmtId="0" fontId="1" fillId="23" borderId="0" xfId="25" applyFont="1" applyFill="1" applyAlignment="1">
      <alignment vertical="center" wrapText="1"/>
    </xf>
    <xf numFmtId="0" fontId="1" fillId="23" borderId="0" xfId="25" applyFont="1" applyFill="1" applyAlignment="1">
      <alignment horizontal="center" vertical="center" wrapText="1"/>
    </xf>
    <xf numFmtId="0" fontId="1" fillId="23" borderId="0" xfId="25" applyFont="1" applyFill="1" applyAlignment="1">
      <alignment horizontal="left" vertical="center" wrapText="1"/>
    </xf>
    <xf numFmtId="0" fontId="1" fillId="23" borderId="0" xfId="25" applyFont="1" applyFill="1" applyAlignment="1">
      <alignment horizontal="right" vertical="center" wrapText="1"/>
    </xf>
    <xf numFmtId="0" fontId="78" fillId="0" borderId="0" xfId="25" applyFont="1" applyAlignment="1">
      <alignment horizontal="justify" vertical="center" wrapText="1"/>
    </xf>
    <xf numFmtId="0" fontId="1" fillId="0" borderId="0" xfId="25" applyFont="1" applyAlignment="1">
      <alignment horizontal="left" vertical="center" wrapText="1"/>
    </xf>
    <xf numFmtId="0" fontId="1" fillId="0" borderId="0" xfId="25" applyFont="1" applyAlignment="1">
      <alignment horizontal="right" vertical="center" wrapText="1"/>
    </xf>
    <xf numFmtId="0" fontId="79" fillId="0" borderId="0" xfId="25" applyFont="1" applyAlignment="1">
      <alignment vertical="center" wrapText="1"/>
    </xf>
    <xf numFmtId="0" fontId="1" fillId="0" borderId="1" xfId="25" applyFont="1" applyBorder="1" applyAlignment="1">
      <alignment horizontal="center" vertical="center" wrapText="1"/>
    </xf>
    <xf numFmtId="0" fontId="1" fillId="0" borderId="1" xfId="25" applyFont="1" applyBorder="1" applyAlignment="1">
      <alignment vertical="center" wrapText="1"/>
    </xf>
    <xf numFmtId="0" fontId="1" fillId="0" borderId="1" xfId="25" applyFont="1" applyBorder="1">
      <alignment vertical="center"/>
    </xf>
    <xf numFmtId="0" fontId="1" fillId="0" borderId="1" xfId="25" applyFont="1" applyBorder="1" applyAlignment="1">
      <alignment horizontal="center" vertical="center"/>
    </xf>
    <xf numFmtId="165" fontId="1" fillId="0" borderId="1" xfId="7" applyNumberFormat="1" applyFont="1" applyBorder="1">
      <alignment vertical="center"/>
    </xf>
    <xf numFmtId="0" fontId="1" fillId="2" borderId="1" xfId="25" applyFont="1" applyFill="1" applyBorder="1">
      <alignment vertical="center"/>
    </xf>
    <xf numFmtId="43" fontId="46" fillId="0" borderId="0" xfId="7" applyFont="1" applyAlignment="1"/>
    <xf numFmtId="0" fontId="46" fillId="0" borderId="0" xfId="26" applyFont="1" applyAlignment="1"/>
    <xf numFmtId="0" fontId="46" fillId="0" borderId="0" xfId="26" applyFont="1" applyAlignment="1">
      <alignment wrapText="1"/>
    </xf>
    <xf numFmtId="0" fontId="1" fillId="0" borderId="0" xfId="25" applyFont="1">
      <alignment vertical="center"/>
    </xf>
    <xf numFmtId="165" fontId="1" fillId="2" borderId="20" xfId="7" applyNumberFormat="1" applyFont="1" applyFill="1" applyBorder="1">
      <alignment vertical="center"/>
    </xf>
    <xf numFmtId="0" fontId="1" fillId="2" borderId="20" xfId="25" applyFont="1" applyFill="1" applyBorder="1" applyAlignment="1">
      <alignment horizontal="center" vertical="center"/>
    </xf>
    <xf numFmtId="0" fontId="77" fillId="0" borderId="2" xfId="25" applyFont="1" applyBorder="1" applyAlignment="1">
      <alignment horizontal="left" vertical="center"/>
    </xf>
    <xf numFmtId="0" fontId="80" fillId="19" borderId="82" xfId="25" applyFont="1" applyFill="1" applyBorder="1" applyAlignment="1">
      <alignment horizontal="center" vertical="center" wrapText="1"/>
    </xf>
    <xf numFmtId="0" fontId="80" fillId="19" borderId="34" xfId="25" applyFont="1" applyFill="1" applyBorder="1" applyAlignment="1">
      <alignment horizontal="left" vertical="center" wrapText="1"/>
    </xf>
    <xf numFmtId="0" fontId="80" fillId="25" borderId="82" xfId="25" applyFont="1" applyFill="1" applyBorder="1" applyAlignment="1">
      <alignment horizontal="center" vertical="center" wrapText="1"/>
    </xf>
    <xf numFmtId="0" fontId="80" fillId="25" borderId="2" xfId="25" applyFont="1" applyFill="1" applyBorder="1" applyAlignment="1">
      <alignment horizontal="left" vertical="center" wrapText="1"/>
    </xf>
    <xf numFmtId="0" fontId="80" fillId="26" borderId="82" xfId="25" applyFont="1" applyFill="1" applyBorder="1" applyAlignment="1">
      <alignment horizontal="center" vertical="center" wrapText="1"/>
    </xf>
    <xf numFmtId="0" fontId="80" fillId="26" borderId="1" xfId="25" applyFont="1" applyFill="1" applyBorder="1" applyAlignment="1">
      <alignment horizontal="left" vertical="center" wrapText="1"/>
    </xf>
    <xf numFmtId="0" fontId="80" fillId="27" borderId="1" xfId="25" applyFont="1" applyFill="1" applyBorder="1" applyAlignment="1">
      <alignment horizontal="center" vertical="center" wrapText="1"/>
    </xf>
    <xf numFmtId="0" fontId="80" fillId="27" borderId="34" xfId="25" applyFont="1" applyFill="1" applyBorder="1" applyAlignment="1">
      <alignment horizontal="left" vertical="center" wrapText="1"/>
    </xf>
    <xf numFmtId="0" fontId="80" fillId="28" borderId="1" xfId="25" applyFont="1" applyFill="1" applyBorder="1" applyAlignment="1">
      <alignment horizontal="center" vertical="center" wrapText="1"/>
    </xf>
    <xf numFmtId="0" fontId="80" fillId="28" borderId="34" xfId="25" applyFont="1" applyFill="1" applyBorder="1" applyAlignment="1">
      <alignment horizontal="left" vertical="center" wrapText="1"/>
    </xf>
    <xf numFmtId="165" fontId="80" fillId="19" borderId="1" xfId="7" applyNumberFormat="1" applyFont="1" applyFill="1" applyBorder="1" applyAlignment="1">
      <alignment vertical="center" wrapText="1"/>
    </xf>
    <xf numFmtId="0" fontId="80" fillId="19" borderId="1" xfId="25" applyFont="1" applyFill="1" applyBorder="1" applyAlignment="1">
      <alignment horizontal="center" vertical="center" wrapText="1"/>
    </xf>
    <xf numFmtId="43" fontId="80" fillId="25" borderId="1" xfId="7" applyFont="1" applyFill="1" applyBorder="1" applyAlignment="1">
      <alignment vertical="center" wrapText="1"/>
    </xf>
    <xf numFmtId="0" fontId="80" fillId="25" borderId="1" xfId="25" applyFont="1" applyFill="1" applyBorder="1" applyAlignment="1">
      <alignment horizontal="center" vertical="center" wrapText="1"/>
    </xf>
    <xf numFmtId="43" fontId="80" fillId="26" borderId="1" xfId="7" applyFont="1" applyFill="1" applyBorder="1" applyAlignment="1">
      <alignment vertical="center" wrapText="1"/>
    </xf>
    <xf numFmtId="0" fontId="80" fillId="26" borderId="1" xfId="25" applyFont="1" applyFill="1" applyBorder="1" applyAlignment="1">
      <alignment horizontal="center" vertical="center" wrapText="1"/>
    </xf>
    <xf numFmtId="43" fontId="80" fillId="27" borderId="1" xfId="7" applyFont="1" applyFill="1" applyBorder="1" applyAlignment="1">
      <alignment vertical="center" wrapText="1"/>
    </xf>
    <xf numFmtId="43" fontId="80" fillId="28" borderId="1" xfId="7" applyFont="1" applyFill="1" applyBorder="1" applyAlignment="1">
      <alignment vertical="center" wrapText="1"/>
    </xf>
    <xf numFmtId="0" fontId="80" fillId="29" borderId="1" xfId="25" applyFont="1" applyFill="1" applyBorder="1" applyAlignment="1">
      <alignment horizontal="center" vertical="center" wrapText="1"/>
    </xf>
    <xf numFmtId="0" fontId="80" fillId="29" borderId="1" xfId="25" applyFont="1" applyFill="1" applyBorder="1" applyAlignment="1">
      <alignment vertical="center" wrapText="1"/>
    </xf>
    <xf numFmtId="0" fontId="80" fillId="29" borderId="2" xfId="25" applyFont="1" applyFill="1" applyBorder="1" applyAlignment="1">
      <alignment vertical="center" wrapText="1"/>
    </xf>
    <xf numFmtId="0" fontId="80" fillId="19" borderId="82" xfId="25" applyFont="1" applyFill="1" applyBorder="1" applyAlignment="1">
      <alignment vertical="center" wrapText="1"/>
    </xf>
    <xf numFmtId="0" fontId="80" fillId="19" borderId="1" xfId="25" applyFont="1" applyFill="1" applyBorder="1" applyAlignment="1">
      <alignment vertical="center" wrapText="1"/>
    </xf>
    <xf numFmtId="0" fontId="80" fillId="19" borderId="34" xfId="25" applyFont="1" applyFill="1" applyBorder="1" applyAlignment="1">
      <alignment vertical="center" wrapText="1"/>
    </xf>
    <xf numFmtId="0" fontId="80" fillId="25" borderId="82" xfId="25" applyFont="1" applyFill="1" applyBorder="1" applyAlignment="1">
      <alignment vertical="center" wrapText="1"/>
    </xf>
    <xf numFmtId="0" fontId="80" fillId="25" borderId="1" xfId="25" applyFont="1" applyFill="1" applyBorder="1" applyAlignment="1">
      <alignment vertical="center" wrapText="1"/>
    </xf>
    <xf numFmtId="0" fontId="80" fillId="25" borderId="2" xfId="25" applyFont="1" applyFill="1" applyBorder="1" applyAlignment="1">
      <alignment vertical="center" wrapText="1"/>
    </xf>
    <xf numFmtId="0" fontId="80" fillId="26" borderId="82" xfId="25" applyFont="1" applyFill="1" applyBorder="1" applyAlignment="1">
      <alignment vertical="center" wrapText="1"/>
    </xf>
    <xf numFmtId="0" fontId="80" fillId="26" borderId="1" xfId="25" applyFont="1" applyFill="1" applyBorder="1" applyAlignment="1">
      <alignment vertical="center" wrapText="1"/>
    </xf>
    <xf numFmtId="0" fontId="80" fillId="27" borderId="1" xfId="25" applyFont="1" applyFill="1" applyBorder="1" applyAlignment="1">
      <alignment vertical="center" wrapText="1"/>
    </xf>
    <xf numFmtId="0" fontId="80" fillId="27" borderId="34" xfId="25" applyFont="1" applyFill="1" applyBorder="1" applyAlignment="1">
      <alignment vertical="center" wrapText="1"/>
    </xf>
    <xf numFmtId="0" fontId="80" fillId="28" borderId="1" xfId="25" applyFont="1" applyFill="1" applyBorder="1" applyAlignment="1">
      <alignment vertical="center" wrapText="1"/>
    </xf>
    <xf numFmtId="0" fontId="80" fillId="28" borderId="34" xfId="25" applyFont="1" applyFill="1" applyBorder="1" applyAlignment="1">
      <alignment vertical="center" wrapText="1"/>
    </xf>
    <xf numFmtId="0" fontId="81" fillId="0" borderId="1" xfId="25" applyFont="1" applyBorder="1" applyAlignment="1">
      <alignment horizontal="center" vertical="center" wrapText="1"/>
    </xf>
    <xf numFmtId="0" fontId="80" fillId="0" borderId="1" xfId="25" applyFont="1" applyBorder="1" applyAlignment="1">
      <alignment vertical="center" wrapText="1"/>
    </xf>
    <xf numFmtId="0" fontId="81" fillId="0" borderId="2" xfId="25" applyFont="1" applyBorder="1" applyAlignment="1">
      <alignment horizontal="center" vertical="center" wrapText="1"/>
    </xf>
    <xf numFmtId="0" fontId="1" fillId="19" borderId="82" xfId="25" applyFont="1" applyFill="1" applyBorder="1" applyAlignment="1">
      <alignment horizontal="center" vertical="center" wrapText="1"/>
    </xf>
    <xf numFmtId="165" fontId="81" fillId="19" borderId="1" xfId="7" applyNumberFormat="1" applyFont="1" applyFill="1" applyBorder="1" applyAlignment="1">
      <alignment vertical="center" wrapText="1"/>
    </xf>
    <xf numFmtId="3" fontId="81" fillId="19" borderId="1" xfId="25" applyNumberFormat="1" applyFont="1" applyFill="1" applyBorder="1" applyAlignment="1">
      <alignment horizontal="center" vertical="center" wrapText="1"/>
    </xf>
    <xf numFmtId="3" fontId="81" fillId="19" borderId="34" xfId="25" applyNumberFormat="1" applyFont="1" applyFill="1" applyBorder="1" applyAlignment="1">
      <alignment horizontal="center" vertical="center" wrapText="1"/>
    </xf>
    <xf numFmtId="0" fontId="1" fillId="25" borderId="82" xfId="25" applyFont="1" applyFill="1" applyBorder="1" applyAlignment="1">
      <alignment horizontal="center" vertical="center"/>
    </xf>
    <xf numFmtId="43" fontId="81" fillId="25" borderId="1" xfId="7" applyFont="1" applyFill="1" applyBorder="1" applyAlignment="1">
      <alignment vertical="center" wrapText="1"/>
    </xf>
    <xf numFmtId="3" fontId="81" fillId="25" borderId="1" xfId="25" applyNumberFormat="1" applyFont="1" applyFill="1" applyBorder="1" applyAlignment="1">
      <alignment horizontal="center" vertical="center" wrapText="1"/>
    </xf>
    <xf numFmtId="3" fontId="81" fillId="25" borderId="2" xfId="25" applyNumberFormat="1" applyFont="1" applyFill="1" applyBorder="1" applyAlignment="1">
      <alignment horizontal="center" vertical="center" wrapText="1"/>
    </xf>
    <xf numFmtId="0" fontId="1" fillId="26" borderId="82" xfId="25" applyFont="1" applyFill="1" applyBorder="1" applyAlignment="1">
      <alignment horizontal="center" vertical="center" wrapText="1"/>
    </xf>
    <xf numFmtId="43" fontId="81" fillId="26" borderId="1" xfId="7" applyFont="1" applyFill="1" applyBorder="1" applyAlignment="1">
      <alignment vertical="center" wrapText="1"/>
    </xf>
    <xf numFmtId="3" fontId="81" fillId="26" borderId="1" xfId="25" applyNumberFormat="1" applyFont="1" applyFill="1" applyBorder="1" applyAlignment="1">
      <alignment horizontal="center" vertical="center" wrapText="1"/>
    </xf>
    <xf numFmtId="0" fontId="1" fillId="27" borderId="1" xfId="25" applyFont="1" applyFill="1" applyBorder="1" applyAlignment="1">
      <alignment horizontal="center" vertical="center"/>
    </xf>
    <xf numFmtId="43" fontId="81" fillId="27" borderId="1" xfId="7" applyFont="1" applyFill="1" applyBorder="1" applyAlignment="1">
      <alignment vertical="center" wrapText="1"/>
    </xf>
    <xf numFmtId="3" fontId="81" fillId="27" borderId="1" xfId="25" applyNumberFormat="1" applyFont="1" applyFill="1" applyBorder="1" applyAlignment="1">
      <alignment horizontal="center" vertical="center" wrapText="1"/>
    </xf>
    <xf numFmtId="3" fontId="81" fillId="27" borderId="34" xfId="25" applyNumberFormat="1" applyFont="1" applyFill="1" applyBorder="1" applyAlignment="1">
      <alignment horizontal="center" vertical="center" wrapText="1"/>
    </xf>
    <xf numFmtId="0" fontId="1" fillId="28" borderId="1" xfId="25" applyFont="1" applyFill="1" applyBorder="1" applyAlignment="1">
      <alignment horizontal="center" vertical="center"/>
    </xf>
    <xf numFmtId="43" fontId="81" fillId="28" borderId="1" xfId="7" applyFont="1" applyFill="1" applyBorder="1" applyAlignment="1">
      <alignment vertical="center" wrapText="1"/>
    </xf>
    <xf numFmtId="3" fontId="81" fillId="28" borderId="1" xfId="25" applyNumberFormat="1" applyFont="1" applyFill="1" applyBorder="1" applyAlignment="1">
      <alignment horizontal="center" vertical="center" wrapText="1"/>
    </xf>
    <xf numFmtId="3" fontId="81" fillId="28" borderId="34" xfId="25" applyNumberFormat="1" applyFont="1" applyFill="1" applyBorder="1" applyAlignment="1">
      <alignment horizontal="center" vertical="center" wrapText="1"/>
    </xf>
    <xf numFmtId="0" fontId="81" fillId="0" borderId="1" xfId="25" applyFont="1" applyFill="1" applyBorder="1" applyAlignment="1">
      <alignment horizontal="center" vertical="center" wrapText="1"/>
    </xf>
    <xf numFmtId="0" fontId="81" fillId="0" borderId="1" xfId="25" applyFont="1" applyFill="1" applyBorder="1" applyAlignment="1">
      <alignment horizontal="left" vertical="center" wrapText="1"/>
    </xf>
    <xf numFmtId="0" fontId="81" fillId="0" borderId="2" xfId="25" applyFont="1" applyFill="1" applyBorder="1" applyAlignment="1">
      <alignment horizontal="center" vertical="center" wrapText="1"/>
    </xf>
    <xf numFmtId="0" fontId="81" fillId="19" borderId="82" xfId="25" applyFont="1" applyFill="1" applyBorder="1" applyAlignment="1">
      <alignment vertical="center" wrapText="1"/>
    </xf>
    <xf numFmtId="165" fontId="1" fillId="19" borderId="1" xfId="7" applyNumberFormat="1" applyFont="1" applyFill="1" applyBorder="1">
      <alignment vertical="center"/>
    </xf>
    <xf numFmtId="0" fontId="81" fillId="25" borderId="82" xfId="25" applyFont="1" applyFill="1" applyBorder="1" applyAlignment="1">
      <alignment vertical="center" wrapText="1"/>
    </xf>
    <xf numFmtId="43" fontId="1" fillId="25" borderId="1" xfId="7" applyFont="1" applyFill="1" applyBorder="1" applyAlignment="1">
      <alignment vertical="center"/>
    </xf>
    <xf numFmtId="0" fontId="81" fillId="27" borderId="82" xfId="25" applyFont="1" applyFill="1" applyBorder="1" applyAlignment="1">
      <alignment vertical="center" wrapText="1"/>
    </xf>
    <xf numFmtId="43" fontId="1" fillId="27" borderId="1" xfId="7" applyFont="1" applyFill="1" applyBorder="1" applyAlignment="1">
      <alignment vertical="center"/>
    </xf>
    <xf numFmtId="0" fontId="81" fillId="27" borderId="1" xfId="25" applyFont="1" applyFill="1" applyBorder="1" applyAlignment="1">
      <alignment vertical="center" wrapText="1"/>
    </xf>
    <xf numFmtId="165" fontId="1" fillId="27" borderId="1" xfId="7" applyNumberFormat="1" applyFont="1" applyFill="1" applyBorder="1" applyAlignment="1">
      <alignment vertical="center"/>
    </xf>
    <xf numFmtId="0" fontId="81" fillId="28" borderId="1" xfId="25" applyFont="1" applyFill="1" applyBorder="1" applyAlignment="1">
      <alignment vertical="center" wrapText="1"/>
    </xf>
    <xf numFmtId="43" fontId="1" fillId="28" borderId="1" xfId="7" applyFont="1" applyFill="1" applyBorder="1" applyAlignment="1">
      <alignment vertical="center"/>
    </xf>
    <xf numFmtId="0" fontId="1" fillId="0" borderId="0" xfId="25" applyFont="1" applyFill="1">
      <alignment vertical="center"/>
    </xf>
    <xf numFmtId="0" fontId="81" fillId="0" borderId="1" xfId="25" applyFont="1" applyFill="1" applyBorder="1" applyAlignment="1">
      <alignment vertical="center" wrapText="1"/>
    </xf>
    <xf numFmtId="9" fontId="81" fillId="0" borderId="1" xfId="25" applyNumberFormat="1" applyFont="1" applyBorder="1" applyAlignment="1">
      <alignment horizontal="center" vertical="center" wrapText="1"/>
    </xf>
    <xf numFmtId="9" fontId="81" fillId="0" borderId="2" xfId="25" applyNumberFormat="1" applyFont="1" applyBorder="1" applyAlignment="1">
      <alignment horizontal="center" vertical="center" wrapText="1"/>
    </xf>
    <xf numFmtId="0" fontId="81" fillId="26" borderId="82" xfId="25" applyFont="1" applyFill="1" applyBorder="1" applyAlignment="1">
      <alignment vertical="center" wrapText="1"/>
    </xf>
    <xf numFmtId="43" fontId="1" fillId="26" borderId="1" xfId="7" applyFont="1" applyFill="1" applyBorder="1">
      <alignment vertical="center"/>
    </xf>
    <xf numFmtId="165" fontId="1" fillId="26" borderId="1" xfId="7" applyNumberFormat="1" applyFont="1" applyFill="1" applyBorder="1">
      <alignment vertical="center"/>
    </xf>
    <xf numFmtId="165" fontId="1" fillId="28" borderId="1" xfId="7" applyNumberFormat="1" applyFont="1" applyFill="1" applyBorder="1">
      <alignment vertical="center"/>
    </xf>
    <xf numFmtId="0" fontId="81" fillId="0" borderId="1" xfId="25" applyFont="1" applyBorder="1" applyAlignment="1">
      <alignment vertical="center" wrapText="1"/>
    </xf>
    <xf numFmtId="43" fontId="1" fillId="27" borderId="1" xfId="7" applyFont="1" applyFill="1" applyBorder="1">
      <alignment vertical="center"/>
    </xf>
    <xf numFmtId="43" fontId="1" fillId="28" borderId="1" xfId="7" applyFont="1" applyFill="1" applyBorder="1">
      <alignment vertical="center"/>
    </xf>
    <xf numFmtId="0" fontId="81" fillId="19" borderId="34" xfId="25" applyFont="1" applyFill="1" applyBorder="1" applyAlignment="1">
      <alignment horizontal="center" vertical="center" wrapText="1"/>
    </xf>
    <xf numFmtId="170" fontId="81" fillId="25" borderId="1" xfId="1" applyNumberFormat="1" applyFont="1" applyFill="1" applyBorder="1" applyAlignment="1">
      <alignment horizontal="center" vertical="center" wrapText="1"/>
    </xf>
    <xf numFmtId="0" fontId="81" fillId="25" borderId="2" xfId="25" applyFont="1" applyFill="1" applyBorder="1" applyAlignment="1">
      <alignment horizontal="center" vertical="center" wrapText="1"/>
    </xf>
    <xf numFmtId="0" fontId="81" fillId="26" borderId="1" xfId="25" applyFont="1" applyFill="1" applyBorder="1" applyAlignment="1">
      <alignment horizontal="center" vertical="center" wrapText="1"/>
    </xf>
    <xf numFmtId="0" fontId="81" fillId="27" borderId="1" xfId="25" applyFont="1" applyFill="1" applyBorder="1" applyAlignment="1">
      <alignment horizontal="center" vertical="center" wrapText="1"/>
    </xf>
    <xf numFmtId="0" fontId="81" fillId="27" borderId="34" xfId="25" applyFont="1" applyFill="1" applyBorder="1" applyAlignment="1">
      <alignment horizontal="center" vertical="center" wrapText="1"/>
    </xf>
    <xf numFmtId="0" fontId="81" fillId="28" borderId="1" xfId="25" applyFont="1" applyFill="1" applyBorder="1" applyAlignment="1">
      <alignment horizontal="center" vertical="center" wrapText="1"/>
    </xf>
    <xf numFmtId="0" fontId="81" fillId="28" borderId="34" xfId="25" applyFont="1" applyFill="1" applyBorder="1" applyAlignment="1">
      <alignment horizontal="center" vertical="center" wrapText="1"/>
    </xf>
    <xf numFmtId="4" fontId="81" fillId="19" borderId="1" xfId="25" applyNumberFormat="1" applyFont="1" applyFill="1" applyBorder="1" applyAlignment="1">
      <alignment horizontal="center" vertical="center" wrapText="1"/>
    </xf>
    <xf numFmtId="4" fontId="81" fillId="19" borderId="34" xfId="25" applyNumberFormat="1" applyFont="1" applyFill="1" applyBorder="1" applyAlignment="1">
      <alignment horizontal="center" vertical="center" wrapText="1"/>
    </xf>
    <xf numFmtId="4" fontId="81" fillId="25" borderId="1" xfId="25" applyNumberFormat="1" applyFont="1" applyFill="1" applyBorder="1" applyAlignment="1">
      <alignment horizontal="center" vertical="center" wrapText="1"/>
    </xf>
    <xf numFmtId="4" fontId="81" fillId="25" borderId="2" xfId="25" applyNumberFormat="1" applyFont="1" applyFill="1" applyBorder="1" applyAlignment="1">
      <alignment horizontal="center" vertical="center" wrapText="1"/>
    </xf>
    <xf numFmtId="4" fontId="81" fillId="26" borderId="1" xfId="25" applyNumberFormat="1" applyFont="1" applyFill="1" applyBorder="1" applyAlignment="1">
      <alignment horizontal="center" vertical="center" wrapText="1"/>
    </xf>
    <xf numFmtId="4" fontId="81" fillId="27" borderId="1" xfId="25" applyNumberFormat="1" applyFont="1" applyFill="1" applyBorder="1" applyAlignment="1">
      <alignment horizontal="center" vertical="center" wrapText="1"/>
    </xf>
    <xf numFmtId="4" fontId="81" fillId="27" borderId="34" xfId="25" applyNumberFormat="1" applyFont="1" applyFill="1" applyBorder="1" applyAlignment="1">
      <alignment horizontal="center" vertical="center" wrapText="1"/>
    </xf>
    <xf numFmtId="4" fontId="81" fillId="28" borderId="1" xfId="25" applyNumberFormat="1" applyFont="1" applyFill="1" applyBorder="1" applyAlignment="1">
      <alignment horizontal="center" vertical="center" wrapText="1"/>
    </xf>
    <xf numFmtId="4" fontId="81" fillId="28" borderId="34" xfId="25" applyNumberFormat="1" applyFont="1" applyFill="1" applyBorder="1" applyAlignment="1">
      <alignment horizontal="center" vertical="center" wrapText="1"/>
    </xf>
    <xf numFmtId="9" fontId="81" fillId="0" borderId="1" xfId="25" applyNumberFormat="1" applyFont="1" applyFill="1" applyBorder="1" applyAlignment="1">
      <alignment horizontal="center" vertical="center" wrapText="1"/>
    </xf>
    <xf numFmtId="9" fontId="81" fillId="0" borderId="2" xfId="25" applyNumberFormat="1" applyFont="1" applyFill="1" applyBorder="1" applyAlignment="1">
      <alignment horizontal="center" vertical="center" wrapText="1"/>
    </xf>
    <xf numFmtId="0" fontId="81" fillId="0" borderId="82" xfId="25" applyFont="1" applyFill="1" applyBorder="1" applyAlignment="1">
      <alignment vertical="center" wrapText="1"/>
    </xf>
    <xf numFmtId="43" fontId="1" fillId="0" borderId="1" xfId="7" applyFont="1" applyFill="1" applyBorder="1" applyAlignment="1">
      <alignment vertical="center"/>
    </xf>
    <xf numFmtId="3" fontId="81" fillId="0" borderId="1" xfId="25" applyNumberFormat="1" applyFont="1" applyFill="1" applyBorder="1" applyAlignment="1">
      <alignment horizontal="center" vertical="center" wrapText="1"/>
    </xf>
    <xf numFmtId="3" fontId="81" fillId="0" borderId="2" xfId="25" applyNumberFormat="1" applyFont="1" applyFill="1" applyBorder="1" applyAlignment="1">
      <alignment horizontal="center" vertical="center" wrapText="1"/>
    </xf>
    <xf numFmtId="43" fontId="1" fillId="0" borderId="1" xfId="7" applyFont="1" applyFill="1" applyBorder="1">
      <alignment vertical="center"/>
    </xf>
    <xf numFmtId="3" fontId="81" fillId="0" borderId="34" xfId="25" applyNumberFormat="1" applyFont="1" applyFill="1" applyBorder="1" applyAlignment="1">
      <alignment horizontal="center" vertical="center" wrapText="1"/>
    </xf>
    <xf numFmtId="165" fontId="81" fillId="19" borderId="1" xfId="27" applyNumberFormat="1" applyFont="1" applyFill="1" applyBorder="1" applyAlignment="1">
      <alignment horizontal="center" vertical="center" wrapText="1"/>
    </xf>
    <xf numFmtId="165" fontId="81" fillId="25" borderId="1" xfId="25" applyNumberFormat="1" applyFont="1" applyFill="1" applyBorder="1" applyAlignment="1">
      <alignment horizontal="center" vertical="center" wrapText="1"/>
    </xf>
    <xf numFmtId="165" fontId="81" fillId="26" borderId="1" xfId="27" applyNumberFormat="1" applyFont="1" applyFill="1" applyBorder="1" applyAlignment="1">
      <alignment horizontal="center" vertical="center" wrapText="1"/>
    </xf>
    <xf numFmtId="165" fontId="81" fillId="27" borderId="1" xfId="27" applyNumberFormat="1" applyFont="1" applyFill="1" applyBorder="1" applyAlignment="1">
      <alignment horizontal="center" vertical="center" wrapText="1"/>
    </xf>
    <xf numFmtId="165" fontId="81" fillId="28" borderId="1" xfId="27" applyNumberFormat="1" applyFont="1" applyFill="1" applyBorder="1" applyAlignment="1">
      <alignment horizontal="center" vertical="center" wrapText="1"/>
    </xf>
    <xf numFmtId="0" fontId="81" fillId="0" borderId="1" xfId="25" applyFont="1" applyBorder="1" applyAlignment="1">
      <alignment horizontal="left" vertical="center" wrapText="1"/>
    </xf>
    <xf numFmtId="170" fontId="81" fillId="19" borderId="1" xfId="1" applyNumberFormat="1" applyFont="1" applyFill="1" applyBorder="1" applyAlignment="1">
      <alignment horizontal="center" vertical="center" wrapText="1"/>
    </xf>
    <xf numFmtId="0" fontId="81" fillId="22" borderId="82" xfId="25" applyFont="1" applyFill="1" applyBorder="1" applyAlignment="1">
      <alignment vertical="center" wrapText="1"/>
    </xf>
    <xf numFmtId="43" fontId="1" fillId="22" borderId="1" xfId="7" applyFont="1" applyFill="1" applyBorder="1" applyAlignment="1">
      <alignment vertical="center"/>
    </xf>
    <xf numFmtId="164" fontId="81" fillId="22" borderId="1" xfId="1" applyFont="1" applyFill="1" applyBorder="1" applyAlignment="1">
      <alignment horizontal="center" vertical="center" wrapText="1"/>
    </xf>
    <xf numFmtId="0" fontId="81" fillId="22" borderId="2" xfId="25" applyFont="1" applyFill="1" applyBorder="1" applyAlignment="1">
      <alignment horizontal="center" vertical="center" wrapText="1"/>
    </xf>
    <xf numFmtId="164" fontId="81" fillId="26" borderId="1" xfId="1" applyFont="1" applyFill="1" applyBorder="1" applyAlignment="1">
      <alignment horizontal="center" vertical="center" wrapText="1"/>
    </xf>
    <xf numFmtId="164" fontId="81" fillId="27" borderId="1" xfId="1" applyFont="1" applyFill="1" applyBorder="1" applyAlignment="1">
      <alignment horizontal="center" vertical="center" wrapText="1"/>
    </xf>
    <xf numFmtId="164" fontId="1" fillId="28" borderId="1" xfId="1" applyFont="1" applyFill="1" applyBorder="1" applyAlignment="1">
      <alignment vertical="center"/>
    </xf>
    <xf numFmtId="164" fontId="81" fillId="28" borderId="1" xfId="1" applyFont="1" applyFill="1" applyBorder="1" applyAlignment="1">
      <alignment horizontal="center" vertical="center" wrapText="1"/>
    </xf>
    <xf numFmtId="0" fontId="80" fillId="22" borderId="82" xfId="25" applyFont="1" applyFill="1" applyBorder="1" applyAlignment="1">
      <alignment vertical="center" wrapText="1"/>
    </xf>
    <xf numFmtId="164" fontId="80" fillId="22" borderId="1" xfId="1" applyFont="1" applyFill="1" applyBorder="1" applyAlignment="1">
      <alignment vertical="center" wrapText="1"/>
    </xf>
    <xf numFmtId="164" fontId="80" fillId="27" borderId="1" xfId="1" applyFont="1" applyFill="1" applyBorder="1" applyAlignment="1">
      <alignment vertical="center" wrapText="1"/>
    </xf>
    <xf numFmtId="0" fontId="81" fillId="19" borderId="82" xfId="25" applyFont="1" applyFill="1" applyBorder="1" applyAlignment="1">
      <alignment horizontal="left" vertical="center" wrapText="1"/>
    </xf>
    <xf numFmtId="164" fontId="1" fillId="19" borderId="1" xfId="1" applyFont="1" applyFill="1" applyBorder="1" applyAlignment="1">
      <alignment vertical="center"/>
    </xf>
    <xf numFmtId="0" fontId="81" fillId="19" borderId="1" xfId="25" applyFont="1" applyFill="1" applyBorder="1" applyAlignment="1">
      <alignment horizontal="center" vertical="center" wrapText="1"/>
    </xf>
    <xf numFmtId="0" fontId="81" fillId="22" borderId="82" xfId="25" applyFont="1" applyFill="1" applyBorder="1" applyAlignment="1">
      <alignment horizontal="left" vertical="center" wrapText="1"/>
    </xf>
    <xf numFmtId="0" fontId="81" fillId="22" borderId="1" xfId="25" applyFont="1" applyFill="1" applyBorder="1" applyAlignment="1">
      <alignment horizontal="center" vertical="center" wrapText="1"/>
    </xf>
    <xf numFmtId="0" fontId="81" fillId="32" borderId="82" xfId="25" applyFont="1" applyFill="1" applyBorder="1" applyAlignment="1">
      <alignment horizontal="left" vertical="center" wrapText="1"/>
    </xf>
    <xf numFmtId="43" fontId="1" fillId="32" borderId="1" xfId="7" applyFont="1" applyFill="1" applyBorder="1">
      <alignment vertical="center"/>
    </xf>
    <xf numFmtId="0" fontId="81" fillId="32" borderId="1" xfId="25" applyFont="1" applyFill="1" applyBorder="1" applyAlignment="1">
      <alignment horizontal="center" vertical="center" wrapText="1"/>
    </xf>
    <xf numFmtId="3" fontId="81" fillId="32" borderId="1" xfId="25" applyNumberFormat="1" applyFont="1" applyFill="1" applyBorder="1" applyAlignment="1">
      <alignment horizontal="center" vertical="center" wrapText="1"/>
    </xf>
    <xf numFmtId="0" fontId="81" fillId="27" borderId="1" xfId="25" applyFont="1" applyFill="1" applyBorder="1" applyAlignment="1">
      <alignment horizontal="left" vertical="center" wrapText="1"/>
    </xf>
    <xf numFmtId="0" fontId="81" fillId="31" borderId="1" xfId="25" applyFont="1" applyFill="1" applyBorder="1" applyAlignment="1">
      <alignment horizontal="left" vertical="center" wrapText="1"/>
    </xf>
    <xf numFmtId="43" fontId="1" fillId="31" borderId="1" xfId="7" applyFont="1" applyFill="1" applyBorder="1">
      <alignment vertical="center"/>
    </xf>
    <xf numFmtId="0" fontId="81" fillId="31" borderId="1" xfId="25" applyFont="1" applyFill="1" applyBorder="1" applyAlignment="1">
      <alignment horizontal="center" vertical="center" wrapText="1"/>
    </xf>
    <xf numFmtId="0" fontId="81" fillId="31" borderId="34" xfId="25" applyFont="1" applyFill="1" applyBorder="1" applyAlignment="1">
      <alignment horizontal="center" vertical="center" wrapText="1"/>
    </xf>
    <xf numFmtId="165" fontId="1" fillId="19" borderId="1" xfId="7" applyNumberFormat="1" applyFont="1" applyFill="1" applyBorder="1" applyAlignment="1">
      <alignment vertical="center"/>
    </xf>
    <xf numFmtId="164" fontId="81" fillId="19" borderId="1" xfId="1" applyFont="1" applyFill="1" applyBorder="1" applyAlignment="1">
      <alignment horizontal="center" vertical="center" wrapText="1"/>
    </xf>
    <xf numFmtId="170" fontId="81" fillId="22" borderId="1" xfId="1" applyNumberFormat="1" applyFont="1" applyFill="1" applyBorder="1" applyAlignment="1">
      <alignment horizontal="center" vertical="center" wrapText="1"/>
    </xf>
    <xf numFmtId="0" fontId="81" fillId="26" borderId="82" xfId="25" applyFont="1" applyFill="1" applyBorder="1" applyAlignment="1">
      <alignment horizontal="left" vertical="center" wrapText="1"/>
    </xf>
    <xf numFmtId="170" fontId="81" fillId="26" borderId="1" xfId="1" applyNumberFormat="1" applyFont="1" applyFill="1" applyBorder="1" applyAlignment="1">
      <alignment horizontal="center" vertical="center" wrapText="1"/>
    </xf>
    <xf numFmtId="170" fontId="81" fillId="27" borderId="1" xfId="1" applyNumberFormat="1" applyFont="1" applyFill="1" applyBorder="1" applyAlignment="1">
      <alignment horizontal="center" vertical="center" wrapText="1"/>
    </xf>
    <xf numFmtId="0" fontId="81" fillId="28" borderId="1" xfId="25" applyFont="1" applyFill="1" applyBorder="1" applyAlignment="1">
      <alignment horizontal="left" vertical="center" wrapText="1"/>
    </xf>
    <xf numFmtId="3" fontId="81" fillId="22" borderId="1" xfId="25" applyNumberFormat="1" applyFont="1" applyFill="1" applyBorder="1" applyAlignment="1">
      <alignment horizontal="center" vertical="center" wrapText="1"/>
    </xf>
    <xf numFmtId="3" fontId="81" fillId="22" borderId="2" xfId="25" applyNumberFormat="1" applyFont="1" applyFill="1" applyBorder="1" applyAlignment="1">
      <alignment horizontal="center" vertical="center" wrapText="1"/>
    </xf>
    <xf numFmtId="170" fontId="81" fillId="27" borderId="1" xfId="25" applyNumberFormat="1" applyFont="1" applyFill="1" applyBorder="1" applyAlignment="1">
      <alignment horizontal="center" vertical="center" wrapText="1"/>
    </xf>
    <xf numFmtId="43" fontId="81" fillId="19" borderId="1" xfId="7" applyFont="1" applyFill="1" applyBorder="1" applyAlignment="1">
      <alignment horizontal="center" vertical="center" wrapText="1"/>
    </xf>
    <xf numFmtId="0" fontId="81" fillId="19" borderId="124" xfId="25" applyFont="1" applyFill="1" applyBorder="1" applyAlignment="1">
      <alignment horizontal="left" vertical="center" wrapText="1"/>
    </xf>
    <xf numFmtId="165" fontId="1" fillId="19" borderId="14" xfId="7" applyNumberFormat="1" applyFont="1" applyFill="1" applyBorder="1">
      <alignment vertical="center"/>
    </xf>
    <xf numFmtId="3" fontId="81" fillId="19" borderId="14" xfId="25" applyNumberFormat="1" applyFont="1" applyFill="1" applyBorder="1" applyAlignment="1">
      <alignment horizontal="center" vertical="center" wrapText="1"/>
    </xf>
    <xf numFmtId="3" fontId="81" fillId="19" borderId="83" xfId="25" applyNumberFormat="1" applyFont="1" applyFill="1" applyBorder="1" applyAlignment="1">
      <alignment horizontal="center" vertical="center" wrapText="1"/>
    </xf>
    <xf numFmtId="0" fontId="81" fillId="22" borderId="124" xfId="25" applyFont="1" applyFill="1" applyBorder="1" applyAlignment="1">
      <alignment horizontal="left" vertical="center" wrapText="1"/>
    </xf>
    <xf numFmtId="3" fontId="81" fillId="22" borderId="14" xfId="25" applyNumberFormat="1" applyFont="1" applyFill="1" applyBorder="1" applyAlignment="1">
      <alignment horizontal="center" vertical="center" wrapText="1"/>
    </xf>
    <xf numFmtId="3" fontId="81" fillId="22" borderId="115" xfId="25" applyNumberFormat="1" applyFont="1" applyFill="1" applyBorder="1" applyAlignment="1">
      <alignment horizontal="center" vertical="center" wrapText="1"/>
    </xf>
    <xf numFmtId="0" fontId="81" fillId="26" borderId="124" xfId="25" applyFont="1" applyFill="1" applyBorder="1" applyAlignment="1">
      <alignment horizontal="left" vertical="center" wrapText="1"/>
    </xf>
    <xf numFmtId="43" fontId="1" fillId="26" borderId="14" xfId="7" applyFont="1" applyFill="1" applyBorder="1">
      <alignment vertical="center"/>
    </xf>
    <xf numFmtId="170" fontId="81" fillId="26" borderId="14" xfId="1" applyNumberFormat="1" applyFont="1" applyFill="1" applyBorder="1" applyAlignment="1">
      <alignment horizontal="center" vertical="center" wrapText="1"/>
    </xf>
    <xf numFmtId="3" fontId="81" fillId="26" borderId="14" xfId="25" applyNumberFormat="1" applyFont="1" applyFill="1" applyBorder="1" applyAlignment="1">
      <alignment horizontal="center" vertical="center" wrapText="1"/>
    </xf>
    <xf numFmtId="0" fontId="81" fillId="27" borderId="14" xfId="25" applyFont="1" applyFill="1" applyBorder="1" applyAlignment="1">
      <alignment horizontal="left" vertical="center" wrapText="1"/>
    </xf>
    <xf numFmtId="43" fontId="1" fillId="27" borderId="14" xfId="7" applyFont="1" applyFill="1" applyBorder="1">
      <alignment vertical="center"/>
    </xf>
    <xf numFmtId="170" fontId="81" fillId="27" borderId="14" xfId="25" applyNumberFormat="1" applyFont="1" applyFill="1" applyBorder="1" applyAlignment="1">
      <alignment horizontal="center" vertical="center" wrapText="1"/>
    </xf>
    <xf numFmtId="3" fontId="81" fillId="27" borderId="83" xfId="25" applyNumberFormat="1" applyFont="1" applyFill="1" applyBorder="1" applyAlignment="1">
      <alignment horizontal="center" vertical="center" wrapText="1"/>
    </xf>
    <xf numFmtId="0" fontId="81" fillId="28" borderId="14" xfId="25" applyFont="1" applyFill="1" applyBorder="1" applyAlignment="1">
      <alignment horizontal="left" vertical="center" wrapText="1"/>
    </xf>
    <xf numFmtId="43" fontId="1" fillId="28" borderId="14" xfId="7" applyFont="1" applyFill="1" applyBorder="1">
      <alignment vertical="center"/>
    </xf>
    <xf numFmtId="3" fontId="81" fillId="28" borderId="14" xfId="25" applyNumberFormat="1" applyFont="1" applyFill="1" applyBorder="1" applyAlignment="1">
      <alignment horizontal="center" vertical="center" wrapText="1"/>
    </xf>
    <xf numFmtId="3" fontId="81" fillId="28" borderId="83" xfId="25" applyNumberFormat="1" applyFont="1" applyFill="1" applyBorder="1" applyAlignment="1">
      <alignment horizontal="center" vertical="center" wrapText="1"/>
    </xf>
    <xf numFmtId="0" fontId="80" fillId="2" borderId="0" xfId="25" applyFont="1" applyFill="1" applyAlignment="1">
      <alignment horizontal="left" vertical="center"/>
    </xf>
    <xf numFmtId="0" fontId="1" fillId="2" borderId="0" xfId="25" applyFont="1" applyFill="1">
      <alignment vertical="center"/>
    </xf>
    <xf numFmtId="0" fontId="1" fillId="2" borderId="0" xfId="25" applyFont="1" applyFill="1" applyAlignment="1">
      <alignment horizontal="center" vertical="center"/>
    </xf>
    <xf numFmtId="0" fontId="2" fillId="30" borderId="49" xfId="25" applyFont="1" applyFill="1" applyBorder="1" applyAlignment="1">
      <alignment vertical="center" wrapText="1"/>
    </xf>
    <xf numFmtId="3" fontId="2" fillId="30" borderId="50" xfId="25" applyNumberFormat="1" applyFont="1" applyFill="1" applyBorder="1">
      <alignment vertical="center"/>
    </xf>
    <xf numFmtId="0" fontId="2" fillId="30" borderId="45" xfId="25" applyFont="1" applyFill="1" applyBorder="1">
      <alignment vertical="center"/>
    </xf>
    <xf numFmtId="0" fontId="2" fillId="30" borderId="49" xfId="25" applyFont="1" applyFill="1" applyBorder="1">
      <alignment vertical="center"/>
    </xf>
    <xf numFmtId="43" fontId="2" fillId="30" borderId="32" xfId="7" applyFont="1" applyFill="1" applyBorder="1">
      <alignment vertical="center"/>
    </xf>
    <xf numFmtId="43" fontId="2" fillId="30" borderId="50" xfId="7" applyFont="1" applyFill="1" applyBorder="1">
      <alignment vertical="center"/>
    </xf>
    <xf numFmtId="0" fontId="82" fillId="0" borderId="0" xfId="25" applyFont="1" applyAlignment="1">
      <alignment horizontal="justify" vertical="center"/>
    </xf>
    <xf numFmtId="0" fontId="2" fillId="0" borderId="0" xfId="25" applyFont="1">
      <alignment vertical="center"/>
    </xf>
    <xf numFmtId="0" fontId="47" fillId="0" borderId="0" xfId="26" applyFont="1" applyAlignment="1">
      <alignment horizontal="center"/>
    </xf>
    <xf numFmtId="43" fontId="47" fillId="0" borderId="0" xfId="7" quotePrefix="1" applyFont="1" applyAlignment="1">
      <alignment horizontal="center"/>
    </xf>
    <xf numFmtId="0" fontId="47" fillId="0" borderId="0" xfId="26" quotePrefix="1" applyFont="1" applyAlignment="1">
      <alignment horizontal="center"/>
    </xf>
    <xf numFmtId="0" fontId="47" fillId="0" borderId="0" xfId="26" applyFont="1" applyAlignment="1">
      <alignment wrapText="1"/>
    </xf>
    <xf numFmtId="43" fontId="47" fillId="0" borderId="0" xfId="7" applyFont="1" applyAlignment="1"/>
    <xf numFmtId="0" fontId="47" fillId="0" borderId="0" xfId="26" applyFont="1" applyAlignment="1"/>
    <xf numFmtId="165" fontId="1" fillId="0" borderId="0" xfId="7" applyNumberFormat="1" applyFont="1">
      <alignment vertical="center"/>
    </xf>
    <xf numFmtId="165" fontId="2" fillId="0" borderId="0" xfId="7" applyNumberFormat="1" applyFont="1" applyAlignment="1">
      <alignment vertical="center" wrapText="1"/>
    </xf>
    <xf numFmtId="165" fontId="1" fillId="0" borderId="0" xfId="7" applyNumberFormat="1" applyFont="1" applyAlignment="1">
      <alignment horizontal="center" vertical="center"/>
    </xf>
    <xf numFmtId="165" fontId="1" fillId="0" borderId="0" xfId="7" applyNumberFormat="1" applyFont="1" applyAlignment="1">
      <alignment vertical="center" wrapText="1"/>
    </xf>
    <xf numFmtId="0" fontId="81" fillId="0" borderId="0" xfId="25" applyFont="1" applyFill="1" applyBorder="1" applyAlignment="1">
      <alignment vertical="center" wrapText="1"/>
    </xf>
    <xf numFmtId="0" fontId="1" fillId="0" borderId="0" xfId="25" applyFont="1" applyAlignment="1">
      <alignment horizontal="center" vertical="center"/>
    </xf>
    <xf numFmtId="165" fontId="2" fillId="0" borderId="0" xfId="7" applyNumberFormat="1" applyFont="1">
      <alignment vertical="center"/>
    </xf>
    <xf numFmtId="165" fontId="2" fillId="0" borderId="0" xfId="25" applyNumberFormat="1" applyFont="1" applyAlignment="1">
      <alignment horizontal="center" vertical="center"/>
    </xf>
    <xf numFmtId="165" fontId="2" fillId="2" borderId="0" xfId="25" applyNumberFormat="1" applyFont="1" applyFill="1">
      <alignment vertical="center"/>
    </xf>
    <xf numFmtId="43" fontId="1" fillId="0" borderId="0" xfId="7" applyFont="1">
      <alignment vertical="center"/>
    </xf>
    <xf numFmtId="0" fontId="30" fillId="0" borderId="0" xfId="0" applyFont="1"/>
    <xf numFmtId="164" fontId="2" fillId="14" borderId="0" xfId="1" applyFont="1" applyFill="1"/>
    <xf numFmtId="43" fontId="2" fillId="0" borderId="1" xfId="0" applyNumberFormat="1" applyFont="1" applyBorder="1"/>
    <xf numFmtId="0" fontId="0" fillId="3" borderId="0" xfId="0" applyFont="1" applyFill="1"/>
    <xf numFmtId="0" fontId="29" fillId="3" borderId="29" xfId="0" applyFont="1" applyFill="1" applyBorder="1" applyAlignment="1">
      <alignment horizontal="center" vertical="top" wrapText="1"/>
    </xf>
    <xf numFmtId="0" fontId="0" fillId="3" borderId="1" xfId="0" applyFont="1" applyFill="1" applyBorder="1"/>
    <xf numFmtId="165" fontId="0" fillId="3" borderId="1" xfId="0" applyNumberFormat="1" applyFont="1" applyFill="1" applyBorder="1"/>
    <xf numFmtId="3" fontId="2" fillId="3" borderId="1" xfId="0" applyNumberFormat="1" applyFont="1" applyFill="1" applyBorder="1"/>
    <xf numFmtId="170" fontId="0" fillId="3" borderId="1" xfId="1" applyNumberFormat="1" applyFont="1" applyFill="1" applyBorder="1"/>
    <xf numFmtId="170" fontId="2" fillId="3" borderId="1" xfId="0" applyNumberFormat="1" applyFont="1" applyFill="1" applyBorder="1"/>
    <xf numFmtId="3" fontId="0" fillId="3" borderId="1" xfId="0" applyNumberFormat="1" applyFont="1" applyFill="1" applyBorder="1"/>
    <xf numFmtId="170" fontId="2" fillId="3" borderId="1" xfId="1" applyNumberFormat="1" applyFont="1" applyFill="1" applyBorder="1"/>
    <xf numFmtId="0" fontId="37" fillId="3" borderId="1" xfId="0" applyFont="1" applyFill="1" applyBorder="1"/>
    <xf numFmtId="0" fontId="0" fillId="3" borderId="0" xfId="0" applyFont="1" applyFill="1" applyBorder="1"/>
    <xf numFmtId="0" fontId="0" fillId="3" borderId="32" xfId="0" applyFont="1" applyFill="1" applyBorder="1"/>
    <xf numFmtId="0" fontId="47" fillId="0" borderId="8" xfId="0" applyFont="1" applyBorder="1" applyAlignment="1">
      <alignment horizontal="right"/>
    </xf>
    <xf numFmtId="3" fontId="61" fillId="0" borderId="26" xfId="0" applyNumberFormat="1" applyFont="1" applyBorder="1" applyAlignment="1">
      <alignment horizontal="center"/>
    </xf>
    <xf numFmtId="0" fontId="63" fillId="0" borderId="41" xfId="0" applyFont="1" applyBorder="1"/>
    <xf numFmtId="9" fontId="50" fillId="0" borderId="1" xfId="3" applyNumberFormat="1" applyFont="1" applyBorder="1" applyAlignment="1">
      <alignment horizontal="right"/>
    </xf>
    <xf numFmtId="1" fontId="50" fillId="2" borderId="66" xfId="6" applyNumberFormat="1" applyFont="1" applyFill="1" applyBorder="1" applyAlignment="1">
      <alignment horizontal="right"/>
    </xf>
    <xf numFmtId="0" fontId="41" fillId="14" borderId="0" xfId="0" applyFont="1" applyFill="1"/>
    <xf numFmtId="0" fontId="0" fillId="25" borderId="0" xfId="0" applyFill="1"/>
    <xf numFmtId="0" fontId="2" fillId="25" borderId="50" xfId="0" applyFont="1" applyFill="1" applyBorder="1"/>
    <xf numFmtId="0" fontId="0" fillId="25" borderId="50" xfId="0" applyFill="1" applyBorder="1"/>
    <xf numFmtId="0" fontId="0" fillId="25" borderId="45" xfId="0" applyFill="1" applyBorder="1"/>
    <xf numFmtId="0" fontId="0" fillId="25" borderId="38" xfId="0" applyFill="1" applyBorder="1"/>
    <xf numFmtId="0" fontId="0" fillId="25" borderId="27" xfId="0" applyFill="1" applyBorder="1"/>
    <xf numFmtId="0" fontId="2" fillId="25" borderId="38" xfId="0" applyFont="1" applyFill="1" applyBorder="1" applyAlignment="1">
      <alignment wrapText="1"/>
    </xf>
    <xf numFmtId="0" fontId="2" fillId="25" borderId="38" xfId="0" applyFont="1" applyFill="1" applyBorder="1"/>
    <xf numFmtId="0" fontId="0" fillId="2" borderId="0" xfId="0" applyFill="1"/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wrapText="1"/>
    </xf>
    <xf numFmtId="0" fontId="0" fillId="25" borderId="36" xfId="0" applyFill="1" applyBorder="1"/>
    <xf numFmtId="0" fontId="0" fillId="2" borderId="1" xfId="0" applyFont="1" applyFill="1" applyBorder="1"/>
    <xf numFmtId="3" fontId="0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170" fontId="0" fillId="2" borderId="1" xfId="1" applyNumberFormat="1" applyFont="1" applyFill="1" applyBorder="1" applyAlignment="1">
      <alignment wrapText="1"/>
    </xf>
    <xf numFmtId="170" fontId="1" fillId="0" borderId="1" xfId="1" applyNumberFormat="1" applyFont="1" applyBorder="1"/>
    <xf numFmtId="170" fontId="1" fillId="2" borderId="1" xfId="1" applyNumberFormat="1" applyFont="1" applyFill="1" applyBorder="1" applyAlignment="1">
      <alignment wrapText="1"/>
    </xf>
    <xf numFmtId="0" fontId="0" fillId="0" borderId="20" xfId="0" applyBorder="1"/>
    <xf numFmtId="170" fontId="0" fillId="0" borderId="20" xfId="1" applyNumberFormat="1" applyFont="1" applyBorder="1"/>
    <xf numFmtId="0" fontId="2" fillId="0" borderId="26" xfId="0" applyFont="1" applyBorder="1"/>
    <xf numFmtId="0" fontId="2" fillId="0" borderId="17" xfId="0" applyFont="1" applyBorder="1"/>
    <xf numFmtId="0" fontId="2" fillId="0" borderId="15" xfId="0" applyFont="1" applyBorder="1"/>
    <xf numFmtId="3" fontId="2" fillId="0" borderId="15" xfId="0" applyNumberFormat="1" applyFont="1" applyBorder="1"/>
    <xf numFmtId="170" fontId="2" fillId="0" borderId="125" xfId="1" applyNumberFormat="1" applyFont="1" applyBorder="1"/>
    <xf numFmtId="0" fontId="0" fillId="0" borderId="20" xfId="0" applyFill="1" applyBorder="1"/>
    <xf numFmtId="3" fontId="2" fillId="0" borderId="20" xfId="0" applyNumberFormat="1" applyFont="1" applyBorder="1"/>
    <xf numFmtId="0" fontId="2" fillId="0" borderId="81" xfId="0" applyFont="1" applyBorder="1"/>
    <xf numFmtId="0" fontId="2" fillId="0" borderId="28" xfId="0" applyFont="1" applyBorder="1"/>
    <xf numFmtId="0" fontId="0" fillId="0" borderId="28" xfId="0" applyFont="1" applyBorder="1"/>
    <xf numFmtId="3" fontId="2" fillId="0" borderId="28" xfId="0" applyNumberFormat="1" applyFont="1" applyBorder="1"/>
    <xf numFmtId="3" fontId="2" fillId="0" borderId="30" xfId="0" applyNumberFormat="1" applyFont="1" applyBorder="1"/>
    <xf numFmtId="0" fontId="2" fillId="0" borderId="124" xfId="0" applyFont="1" applyBorder="1"/>
    <xf numFmtId="0" fontId="2" fillId="0" borderId="14" xfId="0" applyFont="1" applyBorder="1"/>
    <xf numFmtId="170" fontId="2" fillId="0" borderId="14" xfId="0" applyNumberFormat="1" applyFont="1" applyBorder="1"/>
    <xf numFmtId="170" fontId="2" fillId="0" borderId="14" xfId="1" applyNumberFormat="1" applyFont="1" applyBorder="1"/>
    <xf numFmtId="3" fontId="2" fillId="0" borderId="14" xfId="0" applyNumberFormat="1" applyFont="1" applyBorder="1"/>
    <xf numFmtId="170" fontId="2" fillId="0" borderId="83" xfId="1" applyNumberFormat="1" applyFont="1" applyBorder="1"/>
    <xf numFmtId="0" fontId="0" fillId="0" borderId="20" xfId="0" applyFont="1" applyBorder="1"/>
    <xf numFmtId="0" fontId="2" fillId="0" borderId="20" xfId="0" applyFont="1" applyBorder="1"/>
    <xf numFmtId="3" fontId="0" fillId="0" borderId="20" xfId="0" applyNumberFormat="1" applyFont="1" applyBorder="1"/>
    <xf numFmtId="170" fontId="1" fillId="0" borderId="20" xfId="1" applyNumberFormat="1" applyFont="1" applyBorder="1"/>
    <xf numFmtId="0" fontId="0" fillId="0" borderId="28" xfId="0" applyFill="1" applyBorder="1"/>
    <xf numFmtId="170" fontId="2" fillId="0" borderId="30" xfId="1" applyNumberFormat="1" applyFont="1" applyBorder="1"/>
    <xf numFmtId="0" fontId="50" fillId="0" borderId="1" xfId="6" quotePrefix="1" applyFont="1" applyBorder="1" applyAlignment="1">
      <alignment horizontal="right"/>
    </xf>
    <xf numFmtId="0" fontId="50" fillId="0" borderId="1" xfId="6" quotePrefix="1" applyFont="1" applyFill="1" applyBorder="1" applyAlignment="1">
      <alignment horizontal="right"/>
    </xf>
    <xf numFmtId="0" fontId="50" fillId="0" borderId="66" xfId="6" quotePrefix="1" applyFont="1" applyBorder="1" applyAlignment="1">
      <alignment horizontal="right"/>
    </xf>
    <xf numFmtId="165" fontId="2" fillId="0" borderId="1" xfId="0" applyNumberFormat="1" applyFont="1" applyFill="1" applyBorder="1"/>
    <xf numFmtId="0" fontId="44" fillId="0" borderId="1" xfId="0" applyFont="1" applyBorder="1" applyAlignment="1">
      <alignment wrapText="1"/>
    </xf>
    <xf numFmtId="0" fontId="2" fillId="0" borderId="0" xfId="25" applyFont="1" applyAlignment="1">
      <alignment horizontal="center" vertical="center" wrapText="1"/>
    </xf>
    <xf numFmtId="0" fontId="8" fillId="3" borderId="6" xfId="5" applyFont="1" applyFill="1" applyBorder="1"/>
    <xf numFmtId="0" fontId="0" fillId="3" borderId="0" xfId="0" applyFill="1"/>
    <xf numFmtId="3" fontId="0" fillId="3" borderId="1" xfId="0" applyNumberFormat="1" applyFill="1" applyBorder="1"/>
    <xf numFmtId="0" fontId="0" fillId="3" borderId="1" xfId="0" applyFill="1" applyBorder="1"/>
    <xf numFmtId="9" fontId="0" fillId="3" borderId="1" xfId="2" applyFont="1" applyFill="1" applyBorder="1"/>
    <xf numFmtId="170" fontId="0" fillId="3" borderId="1" xfId="0" applyNumberFormat="1" applyFill="1" applyBorder="1"/>
    <xf numFmtId="9" fontId="0" fillId="3" borderId="1" xfId="0" applyNumberFormat="1" applyFill="1" applyBorder="1"/>
    <xf numFmtId="170" fontId="0" fillId="3" borderId="1" xfId="0" applyNumberFormat="1" applyFont="1" applyFill="1" applyBorder="1"/>
    <xf numFmtId="170" fontId="0" fillId="3" borderId="26" xfId="1" applyNumberFormat="1" applyFont="1" applyFill="1" applyBorder="1"/>
    <xf numFmtId="164" fontId="0" fillId="3" borderId="1" xfId="0" applyNumberFormat="1" applyFill="1" applyBorder="1"/>
    <xf numFmtId="43" fontId="0" fillId="3" borderId="1" xfId="1" applyNumberFormat="1" applyFont="1" applyFill="1" applyBorder="1"/>
    <xf numFmtId="0" fontId="2" fillId="0" borderId="129" xfId="0" applyFont="1" applyBorder="1"/>
    <xf numFmtId="3" fontId="2" fillId="0" borderId="130" xfId="0" applyNumberFormat="1" applyFont="1" applyBorder="1"/>
    <xf numFmtId="170" fontId="2" fillId="0" borderId="130" xfId="1" applyNumberFormat="1" applyFont="1" applyBorder="1"/>
    <xf numFmtId="165" fontId="0" fillId="0" borderId="7" xfId="0" applyNumberFormat="1" applyBorder="1"/>
    <xf numFmtId="165" fontId="0" fillId="0" borderId="25" xfId="0" applyNumberFormat="1" applyBorder="1"/>
    <xf numFmtId="0" fontId="0" fillId="0" borderId="17" xfId="0" applyBorder="1" applyAlignment="1">
      <alignment horizontal="center" vertical="center"/>
    </xf>
    <xf numFmtId="170" fontId="0" fillId="0" borderId="28" xfId="1" applyNumberFormat="1" applyFont="1" applyBorder="1"/>
    <xf numFmtId="165" fontId="0" fillId="0" borderId="28" xfId="0" applyNumberFormat="1" applyBorder="1"/>
    <xf numFmtId="43" fontId="0" fillId="0" borderId="1" xfId="0" applyNumberFormat="1" applyFill="1" applyBorder="1"/>
    <xf numFmtId="165" fontId="0" fillId="0" borderId="1" xfId="0" applyNumberFormat="1" applyBorder="1"/>
    <xf numFmtId="165" fontId="0" fillId="0" borderId="1" xfId="1" applyNumberFormat="1" applyFont="1" applyFill="1" applyBorder="1"/>
    <xf numFmtId="165" fontId="0" fillId="0" borderId="1" xfId="0" applyNumberFormat="1" applyFill="1" applyBorder="1"/>
    <xf numFmtId="165" fontId="0" fillId="0" borderId="1" xfId="1" applyNumberFormat="1" applyFont="1" applyBorder="1"/>
    <xf numFmtId="43" fontId="0" fillId="0" borderId="14" xfId="0" applyNumberFormat="1" applyFill="1" applyBorder="1"/>
    <xf numFmtId="170" fontId="2" fillId="0" borderId="6" xfId="0" applyNumberFormat="1" applyFont="1" applyFill="1" applyBorder="1"/>
    <xf numFmtId="165" fontId="2" fillId="0" borderId="6" xfId="0" applyNumberFormat="1" applyFont="1" applyFill="1" applyBorder="1"/>
    <xf numFmtId="170" fontId="2" fillId="0" borderId="6" xfId="1" applyNumberFormat="1" applyFont="1" applyFill="1" applyBorder="1"/>
    <xf numFmtId="170" fontId="2" fillId="0" borderId="53" xfId="1" applyNumberFormat="1" applyFont="1" applyFill="1" applyBorder="1" applyAlignment="1">
      <alignment horizontal="center" vertical="center"/>
    </xf>
    <xf numFmtId="165" fontId="0" fillId="3" borderId="1" xfId="0" applyNumberFormat="1" applyFill="1" applyBorder="1"/>
    <xf numFmtId="3" fontId="0" fillId="3" borderId="1" xfId="0" applyNumberFormat="1" applyFill="1" applyBorder="1" applyAlignment="1">
      <alignment horizontal="right"/>
    </xf>
    <xf numFmtId="170" fontId="0" fillId="0" borderId="7" xfId="1" applyNumberFormat="1" applyFont="1" applyBorder="1"/>
    <xf numFmtId="170" fontId="2" fillId="0" borderId="6" xfId="1" applyNumberFormat="1" applyFont="1" applyFill="1" applyBorder="1" applyAlignment="1">
      <alignment vertical="center" wrapText="1"/>
    </xf>
    <xf numFmtId="0" fontId="2" fillId="0" borderId="0" xfId="25" applyFont="1" applyAlignment="1">
      <alignment vertical="center" wrapText="1"/>
    </xf>
    <xf numFmtId="0" fontId="34" fillId="2" borderId="27" xfId="22" applyFont="1" applyFill="1" applyBorder="1"/>
    <xf numFmtId="0" fontId="0" fillId="2" borderId="9" xfId="0" applyFill="1" applyBorder="1" applyAlignment="1">
      <alignment horizontal="center"/>
    </xf>
    <xf numFmtId="170" fontId="0" fillId="2" borderId="0" xfId="1" applyNumberFormat="1" applyFont="1" applyFill="1" applyBorder="1"/>
    <xf numFmtId="0" fontId="2" fillId="14" borderId="124" xfId="0" applyFont="1" applyFill="1" applyBorder="1"/>
    <xf numFmtId="0" fontId="2" fillId="14" borderId="14" xfId="0" applyFont="1" applyFill="1" applyBorder="1"/>
    <xf numFmtId="0" fontId="0" fillId="14" borderId="14" xfId="0" applyFill="1" applyBorder="1"/>
    <xf numFmtId="170" fontId="2" fillId="14" borderId="14" xfId="0" applyNumberFormat="1" applyFont="1" applyFill="1" applyBorder="1"/>
    <xf numFmtId="170" fontId="2" fillId="14" borderId="14" xfId="1" applyNumberFormat="1" applyFont="1" applyFill="1" applyBorder="1"/>
    <xf numFmtId="3" fontId="2" fillId="14" borderId="14" xfId="0" applyNumberFormat="1" applyFont="1" applyFill="1" applyBorder="1"/>
    <xf numFmtId="170" fontId="2" fillId="14" borderId="83" xfId="1" applyNumberFormat="1" applyFont="1" applyFill="1" applyBorder="1"/>
    <xf numFmtId="0" fontId="7" fillId="14" borderId="6" xfId="5" applyFill="1" applyBorder="1"/>
    <xf numFmtId="0" fontId="8" fillId="14" borderId="15" xfId="5" applyFont="1" applyFill="1" applyBorder="1" applyAlignment="1">
      <alignment horizontal="center" vertical="top" wrapText="1"/>
    </xf>
    <xf numFmtId="3" fontId="0" fillId="14" borderId="1" xfId="0" applyNumberFormat="1" applyFill="1" applyBorder="1"/>
    <xf numFmtId="3" fontId="2" fillId="14" borderId="1" xfId="0" applyNumberFormat="1" applyFont="1" applyFill="1" applyBorder="1"/>
    <xf numFmtId="170" fontId="2" fillId="14" borderId="1" xfId="1" applyNumberFormat="1" applyFont="1" applyFill="1" applyBorder="1"/>
    <xf numFmtId="0" fontId="0" fillId="14" borderId="1" xfId="0" applyFill="1" applyBorder="1"/>
    <xf numFmtId="170" fontId="0" fillId="14" borderId="1" xfId="1" applyNumberFormat="1" applyFont="1" applyFill="1" applyBorder="1"/>
    <xf numFmtId="170" fontId="2" fillId="14" borderId="1" xfId="0" applyNumberFormat="1" applyFont="1" applyFill="1" applyBorder="1"/>
    <xf numFmtId="43" fontId="2" fillId="14" borderId="1" xfId="0" applyNumberFormat="1" applyFont="1" applyFill="1" applyBorder="1"/>
    <xf numFmtId="9" fontId="0" fillId="14" borderId="1" xfId="2" applyFont="1" applyFill="1" applyBorder="1"/>
    <xf numFmtId="170" fontId="0" fillId="14" borderId="1" xfId="0" applyNumberFormat="1" applyFill="1" applyBorder="1"/>
    <xf numFmtId="0" fontId="0" fillId="14" borderId="9" xfId="0" applyFill="1" applyBorder="1" applyAlignment="1">
      <alignment horizontal="center"/>
    </xf>
    <xf numFmtId="170" fontId="0" fillId="14" borderId="1" xfId="0" applyNumberFormat="1" applyFont="1" applyFill="1" applyBorder="1"/>
    <xf numFmtId="3" fontId="0" fillId="14" borderId="2" xfId="0" applyNumberFormat="1" applyFont="1" applyFill="1" applyBorder="1" applyAlignment="1">
      <alignment horizontal="center"/>
    </xf>
    <xf numFmtId="3" fontId="0" fillId="14" borderId="1" xfId="0" applyNumberFormat="1" applyFont="1" applyFill="1" applyBorder="1"/>
    <xf numFmtId="165" fontId="0" fillId="14" borderId="0" xfId="0" applyNumberFormat="1" applyFill="1"/>
    <xf numFmtId="164" fontId="0" fillId="14" borderId="1" xfId="0" applyNumberFormat="1" applyFill="1" applyBorder="1"/>
    <xf numFmtId="10" fontId="0" fillId="0" borderId="0" xfId="2" applyNumberFormat="1" applyFont="1" applyBorder="1"/>
    <xf numFmtId="165" fontId="0" fillId="2" borderId="24" xfId="0" applyNumberFormat="1" applyFill="1" applyBorder="1"/>
    <xf numFmtId="43" fontId="0" fillId="0" borderId="1" xfId="0" applyNumberFormat="1" applyBorder="1"/>
    <xf numFmtId="165" fontId="30" fillId="0" borderId="0" xfId="15" applyNumberFormat="1" applyFont="1"/>
    <xf numFmtId="165" fontId="29" fillId="0" borderId="0" xfId="15" applyNumberFormat="1" applyFont="1"/>
    <xf numFmtId="165" fontId="29" fillId="33" borderId="0" xfId="15" applyNumberFormat="1" applyFont="1" applyFill="1"/>
    <xf numFmtId="165" fontId="29" fillId="16" borderId="0" xfId="15" applyNumberFormat="1" applyFont="1" applyFill="1"/>
    <xf numFmtId="165" fontId="30" fillId="16" borderId="0" xfId="15" applyNumberFormat="1" applyFont="1" applyFill="1"/>
    <xf numFmtId="165" fontId="30" fillId="0" borderId="0" xfId="15" applyNumberFormat="1" applyFont="1" applyFill="1"/>
    <xf numFmtId="0" fontId="30" fillId="0" borderId="0" xfId="0" applyFont="1"/>
    <xf numFmtId="0" fontId="37" fillId="0" borderId="101" xfId="0" applyFont="1" applyBorder="1"/>
    <xf numFmtId="0" fontId="30" fillId="0" borderId="1" xfId="0" applyFont="1" applyBorder="1" applyAlignment="1">
      <alignment wrapText="1"/>
    </xf>
    <xf numFmtId="0" fontId="30" fillId="0" borderId="14" xfId="0" applyFont="1" applyBorder="1" applyAlignment="1">
      <alignment wrapText="1"/>
    </xf>
    <xf numFmtId="0" fontId="30" fillId="0" borderId="14" xfId="0" applyFont="1" applyBorder="1"/>
    <xf numFmtId="43" fontId="34" fillId="14" borderId="0" xfId="7" applyFont="1" applyFill="1" applyAlignment="1"/>
    <xf numFmtId="43" fontId="68" fillId="14" borderId="20" xfId="7" applyFont="1" applyFill="1" applyBorder="1" applyAlignment="1">
      <alignment horizontal="center" vertical="center" wrapText="1"/>
    </xf>
    <xf numFmtId="170" fontId="69" fillId="14" borderId="6" xfId="24" applyNumberFormat="1" applyFont="1" applyFill="1" applyBorder="1" applyAlignment="1">
      <alignment horizontal="center" vertical="center" wrapText="1"/>
    </xf>
    <xf numFmtId="165" fontId="68" fillId="14" borderId="10" xfId="7" applyNumberFormat="1" applyFont="1" applyFill="1" applyBorder="1" applyAlignment="1">
      <alignment horizontal="center" vertical="center" wrapText="1"/>
    </xf>
    <xf numFmtId="165" fontId="70" fillId="14" borderId="43" xfId="7" applyNumberFormat="1" applyFont="1" applyFill="1" applyBorder="1" applyAlignment="1">
      <alignment horizontal="center" vertical="center"/>
    </xf>
    <xf numFmtId="165" fontId="70" fillId="14" borderId="42" xfId="7" applyNumberFormat="1" applyFont="1" applyFill="1" applyBorder="1" applyAlignment="1">
      <alignment horizontal="center" vertical="center"/>
    </xf>
    <xf numFmtId="165" fontId="70" fillId="14" borderId="41" xfId="7" applyNumberFormat="1" applyFont="1" applyFill="1" applyBorder="1" applyAlignment="1">
      <alignment horizontal="center" vertical="center"/>
    </xf>
    <xf numFmtId="165" fontId="69" fillId="14" borderId="6" xfId="7" applyNumberFormat="1" applyFont="1" applyFill="1" applyBorder="1" applyAlignment="1">
      <alignment horizontal="center" vertical="center" wrapText="1"/>
    </xf>
    <xf numFmtId="165" fontId="70" fillId="14" borderId="43" xfId="7" applyNumberFormat="1" applyFont="1" applyFill="1" applyBorder="1" applyAlignment="1">
      <alignment horizontal="center" vertical="center" wrapText="1"/>
    </xf>
    <xf numFmtId="0" fontId="0" fillId="34" borderId="0" xfId="0" applyFont="1" applyFill="1"/>
    <xf numFmtId="3" fontId="0" fillId="34" borderId="0" xfId="0" applyNumberFormat="1" applyFont="1" applyFill="1"/>
    <xf numFmtId="164" fontId="0" fillId="34" borderId="0" xfId="1" applyFont="1" applyFill="1"/>
    <xf numFmtId="0" fontId="0" fillId="34" borderId="0" xfId="0" applyFill="1"/>
    <xf numFmtId="3" fontId="2" fillId="34" borderId="0" xfId="0" applyNumberFormat="1" applyFont="1" applyFill="1"/>
    <xf numFmtId="170" fontId="0" fillId="34" borderId="0" xfId="1" applyNumberFormat="1" applyFont="1" applyFill="1"/>
    <xf numFmtId="0" fontId="46" fillId="35" borderId="0" xfId="6" applyFont="1" applyFill="1"/>
    <xf numFmtId="0" fontId="46" fillId="35" borderId="6" xfId="6" applyFont="1" applyFill="1" applyBorder="1"/>
    <xf numFmtId="0" fontId="46" fillId="35" borderId="32" xfId="6" applyFont="1" applyFill="1" applyBorder="1"/>
    <xf numFmtId="0" fontId="47" fillId="35" borderId="51" xfId="6" applyFont="1" applyFill="1" applyBorder="1" applyAlignment="1">
      <alignment horizontal="center"/>
    </xf>
    <xf numFmtId="0" fontId="47" fillId="35" borderId="24" xfId="6" applyFont="1" applyFill="1" applyBorder="1" applyAlignment="1">
      <alignment horizontal="center"/>
    </xf>
    <xf numFmtId="0" fontId="48" fillId="35" borderId="24" xfId="6" applyFont="1" applyFill="1" applyBorder="1" applyAlignment="1">
      <alignment horizontal="center"/>
    </xf>
    <xf numFmtId="0" fontId="47" fillId="35" borderId="55" xfId="6" applyFont="1" applyFill="1" applyBorder="1" applyAlignment="1">
      <alignment horizontal="center"/>
    </xf>
    <xf numFmtId="0" fontId="46" fillId="35" borderId="35" xfId="6" applyFont="1" applyFill="1" applyBorder="1" applyAlignment="1">
      <alignment horizontal="right"/>
    </xf>
    <xf numFmtId="0" fontId="46" fillId="35" borderId="64" xfId="6" applyFont="1" applyFill="1" applyBorder="1" applyAlignment="1">
      <alignment horizontal="right"/>
    </xf>
    <xf numFmtId="2" fontId="46" fillId="35" borderId="67" xfId="6" applyNumberFormat="1" applyFont="1" applyFill="1" applyBorder="1" applyAlignment="1">
      <alignment horizontal="right"/>
    </xf>
    <xf numFmtId="165" fontId="1" fillId="35" borderId="67" xfId="8" applyNumberFormat="1" applyFont="1" applyFill="1" applyBorder="1" applyAlignment="1">
      <alignment horizontal="right"/>
    </xf>
    <xf numFmtId="165" fontId="47" fillId="35" borderId="80" xfId="8" applyNumberFormat="1" applyFont="1" applyFill="1" applyBorder="1"/>
    <xf numFmtId="165" fontId="47" fillId="35" borderId="50" xfId="8" applyNumberFormat="1" applyFont="1" applyFill="1" applyBorder="1" applyAlignment="1">
      <alignment horizontal="center"/>
    </xf>
    <xf numFmtId="166" fontId="47" fillId="35" borderId="50" xfId="8" applyNumberFormat="1" applyFont="1" applyFill="1" applyBorder="1"/>
    <xf numFmtId="2" fontId="47" fillId="35" borderId="45" xfId="6" applyNumberFormat="1" applyFont="1" applyFill="1" applyBorder="1" applyAlignment="1">
      <alignment horizontal="left"/>
    </xf>
    <xf numFmtId="0" fontId="46" fillId="35" borderId="50" xfId="6" applyFont="1" applyFill="1" applyBorder="1"/>
    <xf numFmtId="0" fontId="47" fillId="35" borderId="0" xfId="6" applyFont="1" applyFill="1" applyBorder="1" applyAlignment="1">
      <alignment horizontal="center"/>
    </xf>
    <xf numFmtId="9" fontId="1" fillId="35" borderId="0" xfId="2" applyFont="1" applyFill="1" applyBorder="1" applyAlignment="1"/>
    <xf numFmtId="0" fontId="46" fillId="35" borderId="0" xfId="6" applyFont="1" applyFill="1" applyBorder="1"/>
    <xf numFmtId="0" fontId="46" fillId="35" borderId="0" xfId="6" applyFont="1" applyFill="1" applyBorder="1" applyAlignment="1">
      <alignment horizontal="center"/>
    </xf>
    <xf numFmtId="165" fontId="1" fillId="35" borderId="0" xfId="8" applyNumberFormat="1" applyFont="1" applyFill="1" applyBorder="1" applyAlignment="1">
      <alignment horizontal="right"/>
    </xf>
    <xf numFmtId="166" fontId="46" fillId="35" borderId="0" xfId="6" applyNumberFormat="1" applyFont="1" applyFill="1" applyBorder="1"/>
    <xf numFmtId="0" fontId="46" fillId="3" borderId="0" xfId="6" applyFont="1" applyFill="1"/>
    <xf numFmtId="0" fontId="46" fillId="3" borderId="6" xfId="6" applyFont="1" applyFill="1" applyBorder="1"/>
    <xf numFmtId="0" fontId="46" fillId="3" borderId="32" xfId="6" applyFont="1" applyFill="1" applyBorder="1"/>
    <xf numFmtId="0" fontId="47" fillId="3" borderId="51" xfId="6" applyFont="1" applyFill="1" applyBorder="1" applyAlignment="1">
      <alignment horizontal="center"/>
    </xf>
    <xf numFmtId="0" fontId="47" fillId="3" borderId="24" xfId="6" applyFont="1" applyFill="1" applyBorder="1" applyAlignment="1">
      <alignment horizontal="center"/>
    </xf>
    <xf numFmtId="0" fontId="48" fillId="3" borderId="24" xfId="6" applyFont="1" applyFill="1" applyBorder="1" applyAlignment="1">
      <alignment horizontal="center"/>
    </xf>
    <xf numFmtId="0" fontId="47" fillId="3" borderId="55" xfId="6" applyFont="1" applyFill="1" applyBorder="1" applyAlignment="1">
      <alignment horizontal="center"/>
    </xf>
    <xf numFmtId="0" fontId="46" fillId="3" borderId="35" xfId="6" applyFont="1" applyFill="1" applyBorder="1" applyAlignment="1">
      <alignment horizontal="right"/>
    </xf>
    <xf numFmtId="0" fontId="46" fillId="3" borderId="64" xfId="6" applyFont="1" applyFill="1" applyBorder="1" applyAlignment="1">
      <alignment horizontal="right"/>
    </xf>
    <xf numFmtId="2" fontId="46" fillId="3" borderId="67" xfId="6" applyNumberFormat="1" applyFont="1" applyFill="1" applyBorder="1" applyAlignment="1">
      <alignment horizontal="right"/>
    </xf>
    <xf numFmtId="165" fontId="47" fillId="3" borderId="80" xfId="8" applyNumberFormat="1" applyFont="1" applyFill="1" applyBorder="1"/>
    <xf numFmtId="165" fontId="47" fillId="3" borderId="50" xfId="8" applyNumberFormat="1" applyFont="1" applyFill="1" applyBorder="1" applyAlignment="1">
      <alignment horizontal="center"/>
    </xf>
    <xf numFmtId="166" fontId="47" fillId="3" borderId="50" xfId="8" applyNumberFormat="1" applyFont="1" applyFill="1" applyBorder="1"/>
    <xf numFmtId="2" fontId="47" fillId="3" borderId="45" xfId="6" applyNumberFormat="1" applyFont="1" applyFill="1" applyBorder="1" applyAlignment="1">
      <alignment horizontal="left"/>
    </xf>
    <xf numFmtId="0" fontId="46" fillId="3" borderId="50" xfId="6" applyFont="1" applyFill="1" applyBorder="1"/>
    <xf numFmtId="0" fontId="83" fillId="0" borderId="0" xfId="6" applyFont="1"/>
    <xf numFmtId="0" fontId="84" fillId="0" borderId="0" xfId="6" applyFont="1"/>
    <xf numFmtId="0" fontId="37" fillId="0" borderId="0" xfId="6" applyFont="1"/>
    <xf numFmtId="0" fontId="84" fillId="3" borderId="32" xfId="6" applyFont="1" applyFill="1" applyBorder="1"/>
    <xf numFmtId="0" fontId="37" fillId="3" borderId="32" xfId="6" applyFont="1" applyFill="1" applyBorder="1"/>
    <xf numFmtId="0" fontId="47" fillId="0" borderId="87" xfId="3" applyFont="1" applyBorder="1" applyAlignment="1">
      <alignment horizontal="center"/>
    </xf>
    <xf numFmtId="2" fontId="46" fillId="0" borderId="73" xfId="3" applyNumberFormat="1" applyFont="1" applyBorder="1" applyAlignment="1">
      <alignment horizontal="center"/>
    </xf>
    <xf numFmtId="2" fontId="46" fillId="0" borderId="21" xfId="3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30" fillId="14" borderId="10" xfId="0" applyFont="1" applyFill="1" applyBorder="1"/>
    <xf numFmtId="0" fontId="30" fillId="14" borderId="1" xfId="0" applyFont="1" applyFill="1" applyBorder="1"/>
    <xf numFmtId="10" fontId="0" fillId="14" borderId="1" xfId="2" applyNumberFormat="1" applyFont="1" applyFill="1" applyBorder="1"/>
    <xf numFmtId="165" fontId="0" fillId="14" borderId="1" xfId="0" applyNumberFormat="1" applyFont="1" applyFill="1" applyBorder="1"/>
    <xf numFmtId="10" fontId="0" fillId="14" borderId="0" xfId="2" applyNumberFormat="1" applyFont="1" applyFill="1"/>
    <xf numFmtId="0" fontId="29" fillId="30" borderId="11" xfId="0" applyFont="1" applyFill="1" applyBorder="1"/>
    <xf numFmtId="0" fontId="30" fillId="30" borderId="9" xfId="0" applyFont="1" applyFill="1" applyBorder="1"/>
    <xf numFmtId="3" fontId="0" fillId="30" borderId="1" xfId="0" applyNumberFormat="1" applyFont="1" applyFill="1" applyBorder="1"/>
    <xf numFmtId="10" fontId="0" fillId="30" borderId="1" xfId="2" applyNumberFormat="1" applyFont="1" applyFill="1" applyBorder="1"/>
    <xf numFmtId="170" fontId="0" fillId="30" borderId="1" xfId="1" applyNumberFormat="1" applyFont="1" applyFill="1" applyBorder="1"/>
    <xf numFmtId="165" fontId="0" fillId="30" borderId="1" xfId="0" applyNumberFormat="1" applyFont="1" applyFill="1" applyBorder="1"/>
    <xf numFmtId="0" fontId="0" fillId="30" borderId="0" xfId="0" applyFont="1" applyFill="1"/>
    <xf numFmtId="3" fontId="2" fillId="30" borderId="0" xfId="0" applyNumberFormat="1" applyFont="1" applyFill="1"/>
    <xf numFmtId="3" fontId="0" fillId="30" borderId="0" xfId="0" applyNumberFormat="1" applyFill="1"/>
    <xf numFmtId="0" fontId="30" fillId="30" borderId="1" xfId="0" applyFont="1" applyFill="1" applyBorder="1"/>
    <xf numFmtId="10" fontId="0" fillId="30" borderId="0" xfId="2" applyNumberFormat="1" applyFont="1" applyFill="1"/>
    <xf numFmtId="170" fontId="0" fillId="30" borderId="0" xfId="1" applyNumberFormat="1" applyFont="1" applyFill="1"/>
    <xf numFmtId="0" fontId="30" fillId="30" borderId="10" xfId="0" applyFont="1" applyFill="1" applyBorder="1"/>
    <xf numFmtId="164" fontId="0" fillId="30" borderId="0" xfId="1" applyFont="1" applyFill="1"/>
    <xf numFmtId="3" fontId="30" fillId="30" borderId="1" xfId="0" applyNumberFormat="1" applyFont="1" applyFill="1" applyBorder="1"/>
    <xf numFmtId="0" fontId="37" fillId="30" borderId="10" xfId="0" applyFont="1" applyFill="1" applyBorder="1"/>
    <xf numFmtId="0" fontId="0" fillId="30" borderId="1" xfId="0" applyFont="1" applyFill="1" applyBorder="1"/>
    <xf numFmtId="0" fontId="0" fillId="30" borderId="34" xfId="0" applyFont="1" applyFill="1" applyBorder="1"/>
    <xf numFmtId="0" fontId="47" fillId="0" borderId="10" xfId="0" applyFont="1" applyBorder="1"/>
    <xf numFmtId="0" fontId="0" fillId="30" borderId="0" xfId="0" applyFill="1"/>
    <xf numFmtId="0" fontId="8" fillId="0" borderId="0" xfId="5" applyFont="1" applyAlignment="1">
      <alignment horizontal="center" vertical="top" wrapText="1"/>
    </xf>
    <xf numFmtId="164" fontId="8" fillId="0" borderId="0" xfId="5" applyNumberFormat="1" applyFont="1" applyAlignment="1">
      <alignment horizontal="center" vertical="top" wrapText="1"/>
    </xf>
    <xf numFmtId="0" fontId="29" fillId="2" borderId="0" xfId="0" applyFont="1" applyFill="1"/>
    <xf numFmtId="0" fontId="41" fillId="2" borderId="0" xfId="0" applyFont="1" applyFill="1"/>
    <xf numFmtId="165" fontId="0" fillId="0" borderId="0" xfId="0" applyNumberFormat="1"/>
    <xf numFmtId="0" fontId="0" fillId="2" borderId="18" xfId="0" applyFill="1" applyBorder="1"/>
    <xf numFmtId="165" fontId="0" fillId="2" borderId="0" xfId="0" applyNumberFormat="1" applyFill="1"/>
    <xf numFmtId="10" fontId="0" fillId="2" borderId="0" xfId="2" applyNumberFormat="1" applyFont="1" applyFill="1"/>
    <xf numFmtId="10" fontId="0" fillId="2" borderId="0" xfId="0" applyNumberFormat="1" applyFill="1"/>
    <xf numFmtId="10" fontId="0" fillId="2" borderId="0" xfId="2" applyNumberFormat="1" applyFont="1" applyFill="1" applyBorder="1"/>
    <xf numFmtId="0" fontId="2" fillId="2" borderId="0" xfId="0" applyFont="1" applyFill="1"/>
    <xf numFmtId="170" fontId="2" fillId="2" borderId="0" xfId="1" applyNumberFormat="1" applyFont="1" applyFill="1" applyBorder="1"/>
    <xf numFmtId="170" fontId="0" fillId="2" borderId="0" xfId="0" applyNumberFormat="1" applyFill="1"/>
    <xf numFmtId="170" fontId="0" fillId="2" borderId="24" xfId="0" applyNumberFormat="1" applyFill="1" applyBorder="1"/>
    <xf numFmtId="0" fontId="8" fillId="21" borderId="59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2" fillId="0" borderId="82" xfId="0" applyFont="1" applyBorder="1"/>
    <xf numFmtId="3" fontId="0" fillId="0" borderId="3" xfId="0" applyNumberFormat="1" applyBorder="1" applyAlignment="1">
      <alignment horizontal="center"/>
    </xf>
    <xf numFmtId="43" fontId="1" fillId="0" borderId="1" xfId="14" applyFont="1" applyBorder="1"/>
    <xf numFmtId="37" fontId="1" fillId="0" borderId="1" xfId="14" applyNumberFormat="1" applyFont="1" applyBorder="1" applyAlignment="1">
      <alignment horizontal="center" vertical="center"/>
    </xf>
    <xf numFmtId="43" fontId="1" fillId="0" borderId="34" xfId="14" applyFont="1" applyBorder="1"/>
    <xf numFmtId="37" fontId="1" fillId="0" borderId="9" xfId="14" applyNumberFormat="1" applyFont="1" applyBorder="1" applyAlignment="1">
      <alignment horizontal="center"/>
    </xf>
    <xf numFmtId="43" fontId="1" fillId="0" borderId="82" xfId="14" applyFont="1" applyBorder="1"/>
    <xf numFmtId="0" fontId="8" fillId="21" borderId="124" xfId="0" applyFont="1" applyFill="1" applyBorder="1"/>
    <xf numFmtId="3" fontId="8" fillId="21" borderId="80" xfId="0" applyNumberFormat="1" applyFont="1" applyFill="1" applyBorder="1" applyAlignment="1">
      <alignment horizontal="center"/>
    </xf>
    <xf numFmtId="43" fontId="8" fillId="21" borderId="14" xfId="0" applyNumberFormat="1" applyFont="1" applyFill="1" applyBorder="1"/>
    <xf numFmtId="37" fontId="2" fillId="21" borderId="14" xfId="0" applyNumberFormat="1" applyFont="1" applyFill="1" applyBorder="1" applyAlignment="1">
      <alignment horizontal="center" vertical="center"/>
    </xf>
    <xf numFmtId="43" fontId="8" fillId="21" borderId="83" xfId="0" applyNumberFormat="1" applyFont="1" applyFill="1" applyBorder="1"/>
    <xf numFmtId="37" fontId="8" fillId="21" borderId="47" xfId="0" applyNumberFormat="1" applyFont="1" applyFill="1" applyBorder="1" applyAlignment="1">
      <alignment horizontal="center"/>
    </xf>
    <xf numFmtId="43" fontId="8" fillId="21" borderId="124" xfId="0" applyNumberFormat="1" applyFont="1" applyFill="1" applyBorder="1"/>
    <xf numFmtId="0" fontId="46" fillId="19" borderId="0" xfId="6" applyFont="1" applyFill="1"/>
    <xf numFmtId="0" fontId="46" fillId="19" borderId="47" xfId="6" applyFont="1" applyFill="1" applyBorder="1"/>
    <xf numFmtId="0" fontId="47" fillId="19" borderId="51" xfId="6" applyFont="1" applyFill="1" applyBorder="1" applyAlignment="1">
      <alignment horizontal="center"/>
    </xf>
    <xf numFmtId="0" fontId="47" fillId="19" borderId="24" xfId="6" applyFont="1" applyFill="1" applyBorder="1" applyAlignment="1">
      <alignment horizontal="center"/>
    </xf>
    <xf numFmtId="0" fontId="48" fillId="19" borderId="24" xfId="6" applyFont="1" applyFill="1" applyBorder="1" applyAlignment="1">
      <alignment horizontal="center"/>
    </xf>
    <xf numFmtId="0" fontId="47" fillId="19" borderId="55" xfId="6" applyFont="1" applyFill="1" applyBorder="1" applyAlignment="1">
      <alignment horizontal="center"/>
    </xf>
    <xf numFmtId="0" fontId="46" fillId="19" borderId="35" xfId="6" applyFont="1" applyFill="1" applyBorder="1" applyAlignment="1">
      <alignment horizontal="right"/>
    </xf>
    <xf numFmtId="0" fontId="46" fillId="19" borderId="64" xfId="6" applyFont="1" applyFill="1" applyBorder="1" applyAlignment="1">
      <alignment horizontal="right"/>
    </xf>
    <xf numFmtId="2" fontId="46" fillId="19" borderId="67" xfId="6" applyNumberFormat="1" applyFont="1" applyFill="1" applyBorder="1" applyAlignment="1">
      <alignment horizontal="right"/>
    </xf>
    <xf numFmtId="165" fontId="47" fillId="19" borderId="80" xfId="8" applyNumberFormat="1" applyFont="1" applyFill="1" applyBorder="1"/>
    <xf numFmtId="165" fontId="47" fillId="19" borderId="50" xfId="8" applyNumberFormat="1" applyFont="1" applyFill="1" applyBorder="1" applyAlignment="1">
      <alignment horizontal="center"/>
    </xf>
    <xf numFmtId="166" fontId="47" fillId="19" borderId="50" xfId="8" applyNumberFormat="1" applyFont="1" applyFill="1" applyBorder="1"/>
    <xf numFmtId="2" fontId="47" fillId="19" borderId="45" xfId="6" applyNumberFormat="1" applyFont="1" applyFill="1" applyBorder="1" applyAlignment="1">
      <alignment horizontal="left"/>
    </xf>
    <xf numFmtId="0" fontId="46" fillId="19" borderId="50" xfId="6" applyFont="1" applyFill="1" applyBorder="1"/>
    <xf numFmtId="0" fontId="30" fillId="19" borderId="1" xfId="6" applyFont="1" applyFill="1" applyBorder="1"/>
    <xf numFmtId="9" fontId="30" fillId="19" borderId="1" xfId="6" applyNumberFormat="1" applyFont="1" applyFill="1" applyBorder="1" applyAlignment="1">
      <alignment wrapText="1"/>
    </xf>
    <xf numFmtId="0" fontId="29" fillId="19" borderId="1" xfId="6" applyFont="1" applyFill="1" applyBorder="1"/>
    <xf numFmtId="9" fontId="30" fillId="0" borderId="0" xfId="2" applyFont="1"/>
    <xf numFmtId="9" fontId="30" fillId="19" borderId="1" xfId="2" applyFont="1" applyFill="1" applyBorder="1"/>
    <xf numFmtId="164" fontId="0" fillId="0" borderId="0" xfId="0" applyNumberFormat="1" applyFont="1"/>
    <xf numFmtId="0" fontId="46" fillId="36" borderId="0" xfId="6" applyFont="1" applyFill="1"/>
    <xf numFmtId="0" fontId="46" fillId="36" borderId="6" xfId="6" applyFont="1" applyFill="1" applyBorder="1"/>
    <xf numFmtId="0" fontId="64" fillId="36" borderId="32" xfId="6" applyFont="1" applyFill="1" applyBorder="1"/>
    <xf numFmtId="0" fontId="64" fillId="36" borderId="0" xfId="6" applyFont="1" applyFill="1" applyBorder="1"/>
    <xf numFmtId="0" fontId="47" fillId="36" borderId="51" xfId="6" applyFont="1" applyFill="1" applyBorder="1" applyAlignment="1">
      <alignment horizontal="center"/>
    </xf>
    <xf numFmtId="0" fontId="47" fillId="36" borderId="24" xfId="6" applyFont="1" applyFill="1" applyBorder="1" applyAlignment="1">
      <alignment horizontal="center"/>
    </xf>
    <xf numFmtId="0" fontId="48" fillId="36" borderId="24" xfId="6" applyFont="1" applyFill="1" applyBorder="1" applyAlignment="1">
      <alignment horizontal="center"/>
    </xf>
    <xf numFmtId="0" fontId="47" fillId="36" borderId="55" xfId="6" applyFont="1" applyFill="1" applyBorder="1" applyAlignment="1">
      <alignment horizontal="center"/>
    </xf>
    <xf numFmtId="0" fontId="49" fillId="36" borderId="6" xfId="6" applyFont="1" applyFill="1" applyBorder="1" applyAlignment="1">
      <alignment horizontal="center" vertical="center"/>
    </xf>
    <xf numFmtId="0" fontId="46" fillId="36" borderId="22" xfId="6" applyFont="1" applyFill="1" applyBorder="1" applyAlignment="1">
      <alignment horizontal="right"/>
    </xf>
    <xf numFmtId="9" fontId="1" fillId="36" borderId="104" xfId="2" applyFont="1" applyFill="1" applyBorder="1" applyAlignment="1">
      <alignment horizontal="right"/>
    </xf>
    <xf numFmtId="43" fontId="1" fillId="36" borderId="104" xfId="8" applyFont="1" applyFill="1" applyBorder="1" applyAlignment="1">
      <alignment horizontal="right"/>
    </xf>
    <xf numFmtId="43" fontId="1" fillId="36" borderId="18" xfId="8" applyFont="1" applyFill="1" applyBorder="1" applyAlignment="1">
      <alignment horizontal="right"/>
    </xf>
    <xf numFmtId="43" fontId="1" fillId="36" borderId="0" xfId="8" applyFont="1" applyFill="1" applyBorder="1" applyAlignment="1">
      <alignment horizontal="right"/>
    </xf>
    <xf numFmtId="9" fontId="47" fillId="36" borderId="55" xfId="2" applyNumberFormat="1" applyFont="1" applyFill="1" applyBorder="1"/>
    <xf numFmtId="165" fontId="47" fillId="36" borderId="32" xfId="8" applyNumberFormat="1" applyFont="1" applyFill="1" applyBorder="1"/>
    <xf numFmtId="166" fontId="47" fillId="36" borderId="50" xfId="8" applyNumberFormat="1" applyFont="1" applyFill="1" applyBorder="1"/>
    <xf numFmtId="0" fontId="47" fillId="36" borderId="50" xfId="6" applyFont="1" applyFill="1" applyBorder="1"/>
    <xf numFmtId="0" fontId="46" fillId="36" borderId="50" xfId="6" applyFont="1" applyFill="1" applyBorder="1"/>
    <xf numFmtId="9" fontId="46" fillId="36" borderId="131" xfId="6" applyNumberFormat="1" applyFont="1" applyFill="1" applyBorder="1" applyAlignment="1">
      <alignment horizontal="right"/>
    </xf>
    <xf numFmtId="0" fontId="1" fillId="36" borderId="104" xfId="2" applyNumberFormat="1" applyFont="1" applyFill="1" applyBorder="1" applyAlignment="1">
      <alignment horizontal="right"/>
    </xf>
    <xf numFmtId="9" fontId="46" fillId="0" borderId="84" xfId="2" applyFont="1" applyBorder="1" applyAlignment="1">
      <alignment horizontal="right"/>
    </xf>
    <xf numFmtId="0" fontId="30" fillId="30" borderId="10" xfId="0" applyNumberFormat="1" applyFont="1" applyFill="1" applyBorder="1" applyAlignment="1">
      <alignment horizontal="right"/>
    </xf>
    <xf numFmtId="0" fontId="30" fillId="30" borderId="1" xfId="0" applyNumberFormat="1" applyFont="1" applyFill="1" applyBorder="1"/>
    <xf numFmtId="0" fontId="30" fillId="30" borderId="1" xfId="2" applyNumberFormat="1" applyFont="1" applyFill="1" applyBorder="1"/>
    <xf numFmtId="0" fontId="30" fillId="30" borderId="1" xfId="1" applyNumberFormat="1" applyFont="1" applyFill="1" applyBorder="1"/>
    <xf numFmtId="0" fontId="30" fillId="30" borderId="34" xfId="2" applyNumberFormat="1" applyFont="1" applyFill="1" applyBorder="1"/>
    <xf numFmtId="0" fontId="30" fillId="30" borderId="0" xfId="0" applyNumberFormat="1" applyFont="1" applyFill="1"/>
    <xf numFmtId="0" fontId="30" fillId="30" borderId="0" xfId="2" applyNumberFormat="1" applyFont="1" applyFill="1"/>
    <xf numFmtId="164" fontId="37" fillId="0" borderId="1" xfId="1" applyFont="1" applyBorder="1"/>
    <xf numFmtId="164" fontId="37" fillId="0" borderId="1" xfId="0" applyNumberFormat="1" applyFont="1" applyBorder="1"/>
    <xf numFmtId="164" fontId="30" fillId="30" borderId="1" xfId="1" applyNumberFormat="1" applyFont="1" applyFill="1" applyBorder="1"/>
    <xf numFmtId="0" fontId="2" fillId="0" borderId="1" xfId="0" applyFont="1" applyBorder="1" applyAlignment="1">
      <alignment horizontal="center"/>
    </xf>
    <xf numFmtId="0" fontId="30" fillId="0" borderId="0" xfId="0" applyFont="1"/>
    <xf numFmtId="0" fontId="2" fillId="0" borderId="0" xfId="0" applyFont="1"/>
    <xf numFmtId="164" fontId="68" fillId="14" borderId="7" xfId="1" applyFont="1" applyFill="1" applyBorder="1" applyAlignment="1">
      <alignment vertical="center"/>
    </xf>
    <xf numFmtId="0" fontId="0" fillId="0" borderId="0" xfId="0"/>
    <xf numFmtId="0" fontId="70" fillId="20" borderId="2" xfId="23" applyFont="1" applyFill="1" applyBorder="1" applyAlignment="1">
      <alignment horizontal="center" vertical="center" wrapText="1"/>
    </xf>
    <xf numFmtId="165" fontId="46" fillId="20" borderId="132" xfId="7" applyNumberFormat="1" applyFont="1" applyFill="1" applyBorder="1" applyAlignment="1">
      <alignment horizontal="center" vertical="center" wrapText="1"/>
    </xf>
    <xf numFmtId="170" fontId="68" fillId="21" borderId="7" xfId="1" applyNumberFormat="1" applyFont="1" applyFill="1" applyBorder="1" applyAlignment="1">
      <alignment horizontal="center" vertical="center" wrapText="1"/>
    </xf>
    <xf numFmtId="170" fontId="70" fillId="20" borderId="1" xfId="1" applyNumberFormat="1" applyFont="1" applyFill="1" applyBorder="1" applyAlignment="1">
      <alignment horizontal="center" vertical="center" wrapText="1"/>
    </xf>
    <xf numFmtId="0" fontId="71" fillId="20" borderId="2" xfId="23" applyFont="1" applyFill="1" applyBorder="1" applyAlignment="1">
      <alignment horizontal="center" vertical="center" wrapText="1"/>
    </xf>
    <xf numFmtId="170" fontId="70" fillId="20" borderId="3" xfId="1" applyNumberFormat="1" applyFont="1" applyFill="1" applyBorder="1" applyAlignment="1">
      <alignment horizontal="center" vertical="center" wrapText="1"/>
    </xf>
    <xf numFmtId="164" fontId="0" fillId="14" borderId="1" xfId="1" applyFont="1" applyFill="1" applyBorder="1"/>
    <xf numFmtId="170" fontId="2" fillId="14" borderId="1" xfId="1" applyNumberFormat="1" applyFont="1" applyFill="1" applyBorder="1" applyAlignment="1">
      <alignment horizontal="center" vertical="center"/>
    </xf>
    <xf numFmtId="165" fontId="29" fillId="0" borderId="116" xfId="15" applyNumberFormat="1" applyFont="1" applyBorder="1"/>
    <xf numFmtId="165" fontId="30" fillId="0" borderId="116" xfId="15" applyNumberFormat="1" applyFont="1" applyBorder="1"/>
    <xf numFmtId="10" fontId="30" fillId="30" borderId="1" xfId="2" applyNumberFormat="1" applyFont="1" applyFill="1" applyBorder="1"/>
    <xf numFmtId="0" fontId="30" fillId="30" borderId="10" xfId="0" applyFont="1" applyFill="1" applyBorder="1" applyAlignment="1">
      <alignment horizontal="right"/>
    </xf>
    <xf numFmtId="170" fontId="30" fillId="30" borderId="1" xfId="1" applyNumberFormat="1" applyFont="1" applyFill="1" applyBorder="1"/>
    <xf numFmtId="43" fontId="30" fillId="30" borderId="1" xfId="0" applyNumberFormat="1" applyFont="1" applyFill="1" applyBorder="1"/>
    <xf numFmtId="10" fontId="30" fillId="30" borderId="0" xfId="2" applyNumberFormat="1" applyFont="1" applyFill="1"/>
    <xf numFmtId="0" fontId="30" fillId="30" borderId="0" xfId="0" applyFont="1" applyFill="1"/>
    <xf numFmtId="0" fontId="30" fillId="0" borderId="0" xfId="5" applyFont="1"/>
    <xf numFmtId="0" fontId="29" fillId="2" borderId="0" xfId="0" applyNumberFormat="1" applyFont="1" applyFill="1" applyBorder="1"/>
    <xf numFmtId="0" fontId="30" fillId="0" borderId="81" xfId="0" applyNumberFormat="1" applyFont="1" applyBorder="1"/>
    <xf numFmtId="0" fontId="29" fillId="16" borderId="27" xfId="5" applyNumberFormat="1" applyFont="1" applyFill="1" applyBorder="1"/>
    <xf numFmtId="0" fontId="29" fillId="0" borderId="82" xfId="0" applyNumberFormat="1" applyFont="1" applyBorder="1"/>
    <xf numFmtId="0" fontId="30" fillId="0" borderId="81" xfId="5" applyNumberFormat="1" applyFont="1" applyBorder="1"/>
    <xf numFmtId="165" fontId="30" fillId="0" borderId="30" xfId="15" applyNumberFormat="1" applyFont="1" applyBorder="1"/>
    <xf numFmtId="0" fontId="29" fillId="0" borderId="82" xfId="5" applyNumberFormat="1" applyFont="1" applyBorder="1"/>
    <xf numFmtId="165" fontId="30" fillId="0" borderId="34" xfId="15" applyNumberFormat="1" applyFont="1" applyBorder="1"/>
    <xf numFmtId="0" fontId="29" fillId="0" borderId="124" xfId="0" applyNumberFormat="1" applyFont="1" applyBorder="1"/>
    <xf numFmtId="0" fontId="29" fillId="0" borderId="124" xfId="5" applyNumberFormat="1" applyFont="1" applyBorder="1"/>
    <xf numFmtId="165" fontId="30" fillId="0" borderId="83" xfId="15" applyNumberFormat="1" applyFont="1" applyBorder="1"/>
    <xf numFmtId="0" fontId="29" fillId="16" borderId="49" xfId="5" applyFont="1" applyFill="1" applyBorder="1"/>
    <xf numFmtId="165" fontId="29" fillId="16" borderId="45" xfId="15" applyNumberFormat="1" applyFont="1" applyFill="1" applyBorder="1"/>
    <xf numFmtId="165" fontId="29" fillId="0" borderId="0" xfId="5" applyNumberFormat="1" applyFont="1"/>
    <xf numFmtId="0" fontId="29" fillId="0" borderId="0" xfId="0" applyNumberFormat="1" applyFont="1" applyFill="1" applyBorder="1"/>
    <xf numFmtId="0" fontId="29" fillId="0" borderId="0" xfId="5" applyFont="1" applyBorder="1"/>
    <xf numFmtId="165" fontId="29" fillId="0" borderId="0" xfId="15" applyNumberFormat="1" applyFont="1" applyBorder="1"/>
    <xf numFmtId="165" fontId="30" fillId="0" borderId="0" xfId="5" applyNumberFormat="1" applyFont="1"/>
    <xf numFmtId="165" fontId="30" fillId="0" borderId="0" xfId="0" applyNumberFormat="1" applyFont="1"/>
    <xf numFmtId="9" fontId="30" fillId="0" borderId="0" xfId="0" applyNumberFormat="1" applyFont="1"/>
    <xf numFmtId="0" fontId="29" fillId="0" borderId="81" xfId="5" applyNumberFormat="1" applyFont="1" applyBorder="1"/>
    <xf numFmtId="0" fontId="88" fillId="20" borderId="43" xfId="23" applyFont="1" applyFill="1" applyBorder="1" applyAlignment="1">
      <alignment horizontal="justify" vertical="center" wrapText="1"/>
    </xf>
    <xf numFmtId="0" fontId="89" fillId="0" borderId="0" xfId="0" applyFont="1"/>
    <xf numFmtId="0" fontId="2" fillId="28" borderId="0" xfId="0" applyFont="1" applyFill="1"/>
    <xf numFmtId="0" fontId="2" fillId="37" borderId="0" xfId="0" applyFont="1" applyFill="1"/>
    <xf numFmtId="0" fontId="90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28" borderId="1" xfId="0" applyFont="1" applyFill="1" applyBorder="1" applyAlignment="1">
      <alignment horizontal="right"/>
    </xf>
    <xf numFmtId="0" fontId="2" fillId="37" borderId="1" xfId="0" applyFont="1" applyFill="1" applyBorder="1" applyAlignment="1">
      <alignment horizontal="right"/>
    </xf>
    <xf numFmtId="0" fontId="2" fillId="0" borderId="0" xfId="0" applyFont="1" applyAlignment="1">
      <alignment wrapText="1"/>
    </xf>
    <xf numFmtId="17" fontId="2" fillId="0" borderId="1" xfId="0" applyNumberFormat="1" applyFont="1" applyBorder="1" applyAlignment="1">
      <alignment wrapText="1"/>
    </xf>
    <xf numFmtId="0" fontId="2" fillId="28" borderId="1" xfId="0" applyFont="1" applyFill="1" applyBorder="1" applyAlignment="1">
      <alignment wrapText="1"/>
    </xf>
    <xf numFmtId="0" fontId="2" fillId="37" borderId="1" xfId="0" applyFont="1" applyFill="1" applyBorder="1" applyAlignment="1">
      <alignment wrapText="1"/>
    </xf>
    <xf numFmtId="2" fontId="0" fillId="28" borderId="1" xfId="0" applyNumberFormat="1" applyFill="1" applyBorder="1"/>
    <xf numFmtId="2" fontId="2" fillId="37" borderId="1" xfId="0" applyNumberFormat="1" applyFont="1" applyFill="1" applyBorder="1"/>
    <xf numFmtId="168" fontId="0" fillId="28" borderId="1" xfId="0" applyNumberFormat="1" applyFill="1" applyBorder="1"/>
    <xf numFmtId="168" fontId="2" fillId="37" borderId="1" xfId="0" applyNumberFormat="1" applyFont="1" applyFill="1" applyBorder="1"/>
    <xf numFmtId="0" fontId="2" fillId="38" borderId="0" xfId="0" applyFont="1" applyFill="1"/>
    <xf numFmtId="0" fontId="0" fillId="28" borderId="1" xfId="0" applyFill="1" applyBorder="1"/>
    <xf numFmtId="0" fontId="2" fillId="37" borderId="1" xfId="0" applyFont="1" applyFill="1" applyBorder="1"/>
    <xf numFmtId="17" fontId="2" fillId="0" borderId="1" xfId="0" applyNumberFormat="1" applyFont="1" applyBorder="1" applyAlignment="1">
      <alignment horizontal="right" wrapText="1"/>
    </xf>
    <xf numFmtId="1" fontId="0" fillId="38" borderId="0" xfId="0" applyNumberFormat="1" applyFill="1"/>
    <xf numFmtId="0" fontId="2" fillId="28" borderId="1" xfId="0" applyFont="1" applyFill="1" applyBorder="1"/>
    <xf numFmtId="168" fontId="2" fillId="28" borderId="1" xfId="0" applyNumberFormat="1" applyFont="1" applyFill="1" applyBorder="1"/>
    <xf numFmtId="0" fontId="0" fillId="28" borderId="0" xfId="0" applyFill="1"/>
    <xf numFmtId="3" fontId="37" fillId="30" borderId="0" xfId="0" applyNumberFormat="1" applyFont="1" applyFill="1"/>
    <xf numFmtId="164" fontId="37" fillId="14" borderId="0" xfId="1" applyFont="1" applyFill="1"/>
    <xf numFmtId="3" fontId="37" fillId="0" borderId="0" xfId="0" applyNumberFormat="1" applyFont="1"/>
    <xf numFmtId="4" fontId="37" fillId="0" borderId="0" xfId="0" applyNumberFormat="1" applyFont="1"/>
    <xf numFmtId="3" fontId="44" fillId="0" borderId="0" xfId="0" applyNumberFormat="1" applyFont="1"/>
    <xf numFmtId="0" fontId="37" fillId="0" borderId="10" xfId="0" applyFont="1" applyBorder="1" applyAlignment="1">
      <alignment horizontal="right"/>
    </xf>
    <xf numFmtId="0" fontId="46" fillId="0" borderId="1" xfId="6" applyFont="1" applyBorder="1" applyAlignment="1">
      <alignment wrapText="1"/>
    </xf>
    <xf numFmtId="43" fontId="47" fillId="35" borderId="49" xfId="8" applyNumberFormat="1" applyFont="1" applyFill="1" applyBorder="1" applyAlignment="1"/>
    <xf numFmtId="9" fontId="34" fillId="0" borderId="1" xfId="0" applyNumberFormat="1" applyFont="1" applyFill="1" applyBorder="1"/>
    <xf numFmtId="0" fontId="34" fillId="3" borderId="1" xfId="0" applyNumberFormat="1" applyFont="1" applyFill="1" applyBorder="1"/>
    <xf numFmtId="3" fontId="34" fillId="3" borderId="1" xfId="0" applyNumberFormat="1" applyFont="1" applyFill="1" applyBorder="1" applyAlignment="1">
      <alignment horizontal="right"/>
    </xf>
    <xf numFmtId="3" fontId="34" fillId="3" borderId="1" xfId="2" applyNumberFormat="1" applyFont="1" applyFill="1" applyBorder="1"/>
    <xf numFmtId="0" fontId="37" fillId="0" borderId="0" xfId="0" applyFont="1" applyBorder="1"/>
    <xf numFmtId="0" fontId="37" fillId="0" borderId="0" xfId="0" applyFont="1" applyFill="1" applyBorder="1"/>
    <xf numFmtId="3" fontId="37" fillId="3" borderId="0" xfId="0" applyNumberFormat="1" applyFont="1" applyFill="1" applyBorder="1"/>
    <xf numFmtId="3" fontId="37" fillId="0" borderId="0" xfId="0" applyNumberFormat="1" applyFont="1" applyBorder="1"/>
    <xf numFmtId="0" fontId="37" fillId="0" borderId="31" xfId="0" applyFont="1" applyBorder="1"/>
    <xf numFmtId="0" fontId="0" fillId="30" borderId="10" xfId="0" applyFont="1" applyFill="1" applyBorder="1"/>
    <xf numFmtId="0" fontId="0" fillId="30" borderId="0" xfId="0" applyFont="1" applyFill="1" applyBorder="1"/>
    <xf numFmtId="3" fontId="0" fillId="30" borderId="0" xfId="0" applyNumberFormat="1" applyFont="1" applyFill="1" applyBorder="1"/>
    <xf numFmtId="3" fontId="30" fillId="30" borderId="0" xfId="0" applyNumberFormat="1" applyFont="1" applyFill="1" applyBorder="1"/>
    <xf numFmtId="0" fontId="0" fillId="30" borderId="31" xfId="0" applyFont="1" applyFill="1" applyBorder="1"/>
    <xf numFmtId="9" fontId="37" fillId="0" borderId="0" xfId="0" applyNumberFormat="1" applyFont="1"/>
    <xf numFmtId="164" fontId="37" fillId="0" borderId="0" xfId="0" applyNumberFormat="1" applyFont="1"/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34" borderId="18" xfId="0" applyFont="1" applyFill="1" applyBorder="1" applyAlignment="1">
      <alignment horizontal="left" wrapText="1"/>
    </xf>
    <xf numFmtId="0" fontId="0" fillId="34" borderId="0" xfId="0" applyFont="1" applyFill="1" applyAlignment="1">
      <alignment horizontal="left" wrapText="1"/>
    </xf>
    <xf numFmtId="0" fontId="0" fillId="30" borderId="10" xfId="0" applyFont="1" applyFill="1" applyBorder="1" applyAlignment="1">
      <alignment horizontal="left" wrapText="1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9" xfId="6" applyBorder="1" applyAlignment="1">
      <alignment horizontal="center"/>
    </xf>
    <xf numFmtId="0" fontId="7" fillId="0" borderId="3" xfId="6" applyBorder="1" applyAlignment="1">
      <alignment horizontal="center"/>
    </xf>
    <xf numFmtId="171" fontId="7" fillId="0" borderId="1" xfId="1" applyNumberFormat="1" applyFont="1" applyBorder="1" applyAlignment="1">
      <alignment horizontal="center"/>
    </xf>
    <xf numFmtId="0" fontId="7" fillId="0" borderId="2" xfId="6" applyBorder="1" applyAlignment="1">
      <alignment horizontal="center"/>
    </xf>
    <xf numFmtId="165" fontId="7" fillId="0" borderId="22" xfId="7" applyNumberFormat="1" applyFont="1" applyBorder="1" applyAlignment="1">
      <alignment horizontal="center"/>
    </xf>
    <xf numFmtId="165" fontId="7" fillId="0" borderId="35" xfId="7" applyNumberFormat="1" applyFont="1" applyBorder="1" applyAlignment="1">
      <alignment horizontal="center"/>
    </xf>
    <xf numFmtId="165" fontId="8" fillId="0" borderId="1" xfId="7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2" fillId="0" borderId="2" xfId="0" applyFont="1" applyBorder="1"/>
    <xf numFmtId="0" fontId="18" fillId="0" borderId="9" xfId="0" applyFont="1" applyBorder="1"/>
    <xf numFmtId="0" fontId="18" fillId="0" borderId="3" xfId="0" applyFont="1" applyBorder="1"/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9" fontId="12" fillId="0" borderId="20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9" xfId="0" applyFont="1" applyBorder="1"/>
    <xf numFmtId="0" fontId="12" fillId="0" borderId="3" xfId="0" applyFont="1" applyBorder="1"/>
    <xf numFmtId="0" fontId="11" fillId="0" borderId="18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53" fillId="0" borderId="38" xfId="0" applyFont="1" applyBorder="1" applyAlignment="1">
      <alignment horizontal="center" wrapText="1"/>
    </xf>
    <xf numFmtId="0" fontId="53" fillId="0" borderId="39" xfId="0" applyFont="1" applyBorder="1" applyAlignment="1">
      <alignment horizontal="center" wrapText="1"/>
    </xf>
    <xf numFmtId="0" fontId="53" fillId="0" borderId="48" xfId="0" applyFont="1" applyBorder="1" applyAlignment="1">
      <alignment horizontal="center" wrapText="1"/>
    </xf>
    <xf numFmtId="0" fontId="46" fillId="0" borderId="1" xfId="6" applyFont="1" applyBorder="1" applyAlignment="1">
      <alignment horizontal="center" vertical="center"/>
    </xf>
    <xf numFmtId="0" fontId="46" fillId="0" borderId="20" xfId="6" applyFont="1" applyBorder="1" applyAlignment="1">
      <alignment horizontal="center" vertical="center"/>
    </xf>
    <xf numFmtId="0" fontId="46" fillId="0" borderId="21" xfId="6" applyFont="1" applyBorder="1" applyAlignment="1">
      <alignment horizontal="center" vertical="center"/>
    </xf>
    <xf numFmtId="0" fontId="46" fillId="0" borderId="26" xfId="6" applyFont="1" applyBorder="1" applyAlignment="1">
      <alignment horizontal="center" vertical="center"/>
    </xf>
    <xf numFmtId="9" fontId="46" fillId="0" borderId="1" xfId="6" applyNumberFormat="1" applyFont="1" applyBorder="1" applyAlignment="1">
      <alignment horizontal="center" vertical="center"/>
    </xf>
    <xf numFmtId="0" fontId="46" fillId="0" borderId="20" xfId="6" applyFont="1" applyBorder="1" applyAlignment="1">
      <alignment vertical="center" wrapText="1"/>
    </xf>
    <xf numFmtId="0" fontId="46" fillId="0" borderId="21" xfId="6" applyFont="1" applyBorder="1" applyAlignment="1">
      <alignment vertical="center" wrapText="1"/>
    </xf>
    <xf numFmtId="0" fontId="46" fillId="0" borderId="26" xfId="6" applyFont="1" applyBorder="1" applyAlignment="1">
      <alignment vertical="center" wrapText="1"/>
    </xf>
    <xf numFmtId="0" fontId="46" fillId="0" borderId="0" xfId="6" applyFont="1" applyBorder="1" applyAlignment="1">
      <alignment horizontal="center"/>
    </xf>
    <xf numFmtId="165" fontId="47" fillId="0" borderId="49" xfId="8" applyNumberFormat="1" applyFont="1" applyBorder="1" applyAlignment="1">
      <alignment horizontal="center"/>
    </xf>
    <xf numFmtId="165" fontId="47" fillId="0" borderId="50" xfId="8" applyNumberFormat="1" applyFont="1" applyBorder="1" applyAlignment="1">
      <alignment horizontal="center"/>
    </xf>
    <xf numFmtId="0" fontId="49" fillId="0" borderId="5" xfId="6" applyFont="1" applyBorder="1" applyAlignment="1">
      <alignment horizontal="center" vertical="center"/>
    </xf>
    <xf numFmtId="0" fontId="49" fillId="0" borderId="6" xfId="6" applyFont="1" applyBorder="1" applyAlignment="1">
      <alignment horizontal="center" vertical="center"/>
    </xf>
    <xf numFmtId="0" fontId="49" fillId="0" borderId="36" xfId="6" applyFont="1" applyBorder="1" applyAlignment="1">
      <alignment horizontal="center" vertical="center"/>
    </xf>
    <xf numFmtId="0" fontId="49" fillId="0" borderId="58" xfId="6" applyFont="1" applyBorder="1" applyAlignment="1">
      <alignment horizontal="center" vertical="center"/>
    </xf>
    <xf numFmtId="0" fontId="49" fillId="0" borderId="59" xfId="6" applyFont="1" applyBorder="1" applyAlignment="1">
      <alignment horizontal="center" vertical="center"/>
    </xf>
    <xf numFmtId="0" fontId="49" fillId="0" borderId="60" xfId="6" applyFont="1" applyBorder="1" applyAlignment="1">
      <alignment horizontal="center" vertical="center"/>
    </xf>
    <xf numFmtId="0" fontId="65" fillId="6" borderId="58" xfId="6" applyFont="1" applyFill="1" applyBorder="1" applyAlignment="1">
      <alignment horizontal="center" vertical="center"/>
    </xf>
    <xf numFmtId="0" fontId="65" fillId="6" borderId="59" xfId="6" applyFont="1" applyFill="1" applyBorder="1" applyAlignment="1">
      <alignment horizontal="center" vertical="center"/>
    </xf>
    <xf numFmtId="0" fontId="65" fillId="6" borderId="60" xfId="6" applyFont="1" applyFill="1" applyBorder="1" applyAlignment="1">
      <alignment horizontal="center" vertical="center"/>
    </xf>
    <xf numFmtId="0" fontId="29" fillId="0" borderId="49" xfId="6" applyFont="1" applyBorder="1" applyAlignment="1">
      <alignment horizontal="center"/>
    </xf>
    <xf numFmtId="0" fontId="29" fillId="0" borderId="50" xfId="6" applyFont="1" applyBorder="1" applyAlignment="1">
      <alignment horizontal="center"/>
    </xf>
    <xf numFmtId="0" fontId="29" fillId="0" borderId="45" xfId="6" applyFont="1" applyBorder="1" applyAlignment="1">
      <alignment horizontal="center"/>
    </xf>
    <xf numFmtId="2" fontId="46" fillId="0" borderId="73" xfId="3" applyNumberFormat="1" applyFont="1" applyBorder="1" applyAlignment="1">
      <alignment horizontal="center"/>
    </xf>
    <xf numFmtId="2" fontId="46" fillId="0" borderId="21" xfId="3" applyNumberFormat="1" applyFont="1" applyBorder="1" applyAlignment="1">
      <alignment horizontal="center"/>
    </xf>
    <xf numFmtId="2" fontId="46" fillId="0" borderId="62" xfId="3" applyNumberFormat="1" applyFont="1" applyBorder="1" applyAlignment="1">
      <alignment horizontal="center"/>
    </xf>
    <xf numFmtId="2" fontId="46" fillId="0" borderId="21" xfId="3" applyNumberFormat="1" applyFont="1" applyBorder="1" applyAlignment="1">
      <alignment horizontal="center" wrapText="1"/>
    </xf>
    <xf numFmtId="0" fontId="47" fillId="0" borderId="87" xfId="3" applyFont="1" applyBorder="1" applyAlignment="1">
      <alignment horizontal="center"/>
    </xf>
    <xf numFmtId="0" fontId="47" fillId="0" borderId="50" xfId="3" applyFont="1" applyBorder="1" applyAlignment="1">
      <alignment horizontal="center"/>
    </xf>
    <xf numFmtId="0" fontId="47" fillId="0" borderId="16" xfId="3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29" fillId="0" borderId="13" xfId="3" applyFont="1" applyBorder="1" applyAlignment="1">
      <alignment horizontal="center"/>
    </xf>
    <xf numFmtId="0" fontId="29" fillId="0" borderId="32" xfId="3" applyFont="1" applyBorder="1" applyAlignment="1">
      <alignment horizontal="center"/>
    </xf>
    <xf numFmtId="0" fontId="47" fillId="4" borderId="58" xfId="3" applyFont="1" applyFill="1" applyBorder="1">
      <alignment vertical="center"/>
    </xf>
    <xf numFmtId="0" fontId="47" fillId="4" borderId="59" xfId="3" applyFont="1" applyFill="1" applyBorder="1">
      <alignment vertical="center"/>
    </xf>
    <xf numFmtId="0" fontId="47" fillId="4" borderId="60" xfId="3" applyFont="1" applyFill="1" applyBorder="1">
      <alignment vertical="center"/>
    </xf>
    <xf numFmtId="0" fontId="46" fillId="0" borderId="59" xfId="3" applyFont="1" applyBorder="1">
      <alignment vertical="center"/>
    </xf>
    <xf numFmtId="0" fontId="46" fillId="0" borderId="60" xfId="3" applyFont="1" applyBorder="1">
      <alignment vertical="center"/>
    </xf>
    <xf numFmtId="49" fontId="28" fillId="0" borderId="0" xfId="0" applyNumberFormat="1" applyFont="1" applyAlignment="1">
      <alignment horizontal="center" textRotation="180"/>
    </xf>
    <xf numFmtId="0" fontId="4" fillId="0" borderId="48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7" xfId="0" applyFont="1" applyBorder="1" applyAlignment="1">
      <alignment horizontal="center"/>
    </xf>
    <xf numFmtId="0" fontId="24" fillId="0" borderId="2" xfId="0" applyFont="1" applyBorder="1" applyAlignment="1">
      <alignment horizontal="left" wrapText="1"/>
    </xf>
    <xf numFmtId="0" fontId="24" fillId="0" borderId="9" xfId="0" applyFont="1" applyBorder="1" applyAlignment="1">
      <alignment horizontal="left" wrapText="1"/>
    </xf>
    <xf numFmtId="0" fontId="24" fillId="0" borderId="3" xfId="0" applyFont="1" applyBorder="1" applyAlignment="1">
      <alignment horizontal="left" wrapText="1"/>
    </xf>
    <xf numFmtId="0" fontId="25" fillId="0" borderId="100" xfId="0" applyFont="1" applyBorder="1" applyAlignment="1">
      <alignment horizontal="center" vertical="center"/>
    </xf>
    <xf numFmtId="0" fontId="25" fillId="0" borderId="10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57" xfId="0" applyBorder="1" applyAlignment="1">
      <alignment horizontal="center"/>
    </xf>
    <xf numFmtId="0" fontId="26" fillId="0" borderId="0" xfId="0" applyFont="1" applyAlignment="1">
      <alignment horizontal="center" textRotation="180"/>
    </xf>
    <xf numFmtId="0" fontId="24" fillId="0" borderId="2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0" fontId="24" fillId="0" borderId="3" xfId="0" applyFont="1" applyBorder="1" applyAlignment="1">
      <alignment horizontal="left" vertical="top" wrapText="1"/>
    </xf>
    <xf numFmtId="0" fontId="25" fillId="0" borderId="90" xfId="0" applyFont="1" applyBorder="1" applyAlignment="1">
      <alignment horizontal="center" vertical="center"/>
    </xf>
    <xf numFmtId="0" fontId="25" fillId="0" borderId="10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99" xfId="0" applyBorder="1" applyAlignment="1">
      <alignment horizontal="center"/>
    </xf>
    <xf numFmtId="0" fontId="30" fillId="0" borderId="1" xfId="6" applyFont="1" applyBorder="1" applyAlignment="1">
      <alignment horizontal="center" wrapText="1"/>
    </xf>
    <xf numFmtId="0" fontId="2" fillId="8" borderId="1" xfId="0" applyFont="1" applyFill="1" applyBorder="1" applyAlignment="1">
      <alignment horizontal="center"/>
    </xf>
    <xf numFmtId="0" fontId="30" fillId="0" borderId="108" xfId="6" applyFont="1" applyBorder="1" applyAlignment="1">
      <alignment horizontal="center" wrapText="1"/>
    </xf>
    <xf numFmtId="0" fontId="30" fillId="0" borderId="23" xfId="6" applyFont="1" applyBorder="1" applyAlignment="1">
      <alignment horizontal="center" wrapText="1"/>
    </xf>
    <xf numFmtId="0" fontId="30" fillId="0" borderId="109" xfId="6" applyFont="1" applyBorder="1" applyAlignment="1">
      <alignment horizontal="center" wrapText="1"/>
    </xf>
    <xf numFmtId="0" fontId="29" fillId="0" borderId="110" xfId="6" applyFont="1" applyBorder="1" applyAlignment="1">
      <alignment horizontal="center" wrapText="1"/>
    </xf>
    <xf numFmtId="0" fontId="29" fillId="0" borderId="111" xfId="6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8" fillId="21" borderId="58" xfId="0" applyFont="1" applyFill="1" applyBorder="1" applyAlignment="1">
      <alignment horizontal="center"/>
    </xf>
    <xf numFmtId="0" fontId="8" fillId="21" borderId="59" xfId="0" applyFont="1" applyFill="1" applyBorder="1" applyAlignment="1">
      <alignment horizontal="center"/>
    </xf>
    <xf numFmtId="0" fontId="8" fillId="21" borderId="60" xfId="0" applyFont="1" applyFill="1" applyBorder="1" applyAlignment="1">
      <alignment horizontal="center"/>
    </xf>
    <xf numFmtId="0" fontId="29" fillId="16" borderId="49" xfId="5" applyFont="1" applyFill="1" applyBorder="1" applyAlignment="1">
      <alignment horizontal="center"/>
    </xf>
    <xf numFmtId="0" fontId="29" fillId="16" borderId="50" xfId="5" applyFont="1" applyFill="1" applyBorder="1" applyAlignment="1">
      <alignment horizontal="center"/>
    </xf>
    <xf numFmtId="0" fontId="29" fillId="16" borderId="45" xfId="5" applyFont="1" applyFill="1" applyBorder="1" applyAlignment="1">
      <alignment horizontal="center"/>
    </xf>
    <xf numFmtId="0" fontId="29" fillId="16" borderId="49" xfId="5" applyNumberFormat="1" applyFont="1" applyFill="1" applyBorder="1" applyAlignment="1">
      <alignment horizontal="center"/>
    </xf>
    <xf numFmtId="0" fontId="29" fillId="16" borderId="45" xfId="5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164" fontId="37" fillId="14" borderId="0" xfId="1" applyFont="1" applyFill="1" applyAlignment="1">
      <alignment horizontal="left" wrapText="1"/>
    </xf>
    <xf numFmtId="0" fontId="46" fillId="0" borderId="121" xfId="6" applyFont="1" applyBorder="1" applyAlignment="1">
      <alignment horizontal="center" vertical="center"/>
    </xf>
    <xf numFmtId="0" fontId="46" fillId="0" borderId="122" xfId="6" applyFont="1" applyBorder="1" applyAlignment="1">
      <alignment horizontal="center" vertical="center"/>
    </xf>
    <xf numFmtId="165" fontId="1" fillId="0" borderId="122" xfId="17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" borderId="38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left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81" xfId="0" applyBorder="1" applyAlignment="1">
      <alignment horizontal="center"/>
    </xf>
    <xf numFmtId="0" fontId="0" fillId="0" borderId="124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0" fontId="0" fillId="0" borderId="28" xfId="1" applyNumberFormat="1" applyFont="1" applyBorder="1" applyAlignment="1">
      <alignment horizontal="center" vertical="center"/>
    </xf>
    <xf numFmtId="170" fontId="0" fillId="0" borderId="1" xfId="1" applyNumberFormat="1" applyFont="1" applyBorder="1" applyAlignment="1">
      <alignment horizontal="center" vertical="center"/>
    </xf>
    <xf numFmtId="170" fontId="0" fillId="0" borderId="14" xfId="1" applyNumberFormat="1" applyFont="1" applyBorder="1" applyAlignment="1">
      <alignment horizontal="center" vertical="center"/>
    </xf>
    <xf numFmtId="170" fontId="0" fillId="0" borderId="30" xfId="1" applyNumberFormat="1" applyFont="1" applyBorder="1" applyAlignment="1">
      <alignment horizontal="center" vertical="center"/>
    </xf>
    <xf numFmtId="170" fontId="0" fillId="0" borderId="34" xfId="1" applyNumberFormat="1" applyFont="1" applyBorder="1" applyAlignment="1">
      <alignment horizontal="center" vertical="center"/>
    </xf>
    <xf numFmtId="170" fontId="0" fillId="0" borderId="83" xfId="1" applyNumberFormat="1" applyFont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12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3" fontId="0" fillId="0" borderId="28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36" fillId="0" borderId="49" xfId="23" applyFont="1" applyBorder="1" applyAlignment="1">
      <alignment horizontal="center"/>
    </xf>
    <xf numFmtId="0" fontId="36" fillId="0" borderId="50" xfId="23" applyFont="1" applyBorder="1" applyAlignment="1">
      <alignment horizontal="center"/>
    </xf>
    <xf numFmtId="0" fontId="36" fillId="0" borderId="45" xfId="23" applyFont="1" applyBorder="1" applyAlignment="1">
      <alignment horizontal="center"/>
    </xf>
    <xf numFmtId="0" fontId="69" fillId="0" borderId="58" xfId="23" applyFont="1" applyBorder="1" applyAlignment="1">
      <alignment horizontal="center" vertical="center" wrapText="1"/>
    </xf>
    <xf numFmtId="0" fontId="69" fillId="0" borderId="59" xfId="23" applyFont="1" applyBorder="1" applyAlignment="1">
      <alignment horizontal="center" vertical="center" wrapText="1"/>
    </xf>
    <xf numFmtId="0" fontId="69" fillId="0" borderId="60" xfId="23" applyFont="1" applyBorder="1" applyAlignment="1">
      <alignment horizontal="center" vertical="center" wrapText="1"/>
    </xf>
    <xf numFmtId="170" fontId="69" fillId="0" borderId="50" xfId="24" applyNumberFormat="1" applyFont="1" applyBorder="1" applyAlignment="1">
      <alignment horizontal="center" vertical="center" wrapText="1"/>
    </xf>
    <xf numFmtId="170" fontId="69" fillId="0" borderId="45" xfId="24" applyNumberFormat="1" applyFont="1" applyBorder="1" applyAlignment="1">
      <alignment horizontal="center" vertical="center" wrapText="1"/>
    </xf>
    <xf numFmtId="0" fontId="30" fillId="0" borderId="0" xfId="0" applyFont="1"/>
    <xf numFmtId="0" fontId="2" fillId="0" borderId="0" xfId="0" applyFont="1"/>
    <xf numFmtId="0" fontId="1" fillId="0" borderId="0" xfId="0" applyFont="1"/>
    <xf numFmtId="0" fontId="2" fillId="2" borderId="28" xfId="25" applyFont="1" applyFill="1" applyBorder="1" applyAlignment="1">
      <alignment horizontal="center" vertical="center"/>
    </xf>
    <xf numFmtId="0" fontId="2" fillId="2" borderId="30" xfId="25" applyFont="1" applyFill="1" applyBorder="1" applyAlignment="1">
      <alignment horizontal="center" vertical="center"/>
    </xf>
    <xf numFmtId="0" fontId="80" fillId="14" borderId="1" xfId="25" applyFont="1" applyFill="1" applyBorder="1" applyAlignment="1">
      <alignment horizontal="center" vertical="center" wrapText="1"/>
    </xf>
    <xf numFmtId="0" fontId="80" fillId="14" borderId="2" xfId="25" applyFont="1" applyFill="1" applyBorder="1" applyAlignment="1">
      <alignment horizontal="center" vertical="center" wrapText="1"/>
    </xf>
    <xf numFmtId="0" fontId="80" fillId="19" borderId="1" xfId="25" applyFont="1" applyFill="1" applyBorder="1" applyAlignment="1">
      <alignment horizontal="center" vertical="center" wrapText="1"/>
    </xf>
    <xf numFmtId="0" fontId="80" fillId="25" borderId="2" xfId="25" applyFont="1" applyFill="1" applyBorder="1" applyAlignment="1">
      <alignment horizontal="center" vertical="center" wrapText="1"/>
    </xf>
    <xf numFmtId="0" fontId="80" fillId="25" borderId="3" xfId="25" applyFont="1" applyFill="1" applyBorder="1" applyAlignment="1">
      <alignment horizontal="center" vertical="center" wrapText="1"/>
    </xf>
    <xf numFmtId="0" fontId="80" fillId="26" borderId="1" xfId="25" applyFont="1" applyFill="1" applyBorder="1" applyAlignment="1">
      <alignment horizontal="center" vertical="center" wrapText="1"/>
    </xf>
    <xf numFmtId="0" fontId="80" fillId="27" borderId="1" xfId="25" applyFont="1" applyFill="1" applyBorder="1" applyAlignment="1">
      <alignment horizontal="center" vertical="center" wrapText="1"/>
    </xf>
    <xf numFmtId="0" fontId="80" fillId="28" borderId="1" xfId="25" applyFont="1" applyFill="1" applyBorder="1" applyAlignment="1">
      <alignment horizontal="center" vertical="center" wrapText="1"/>
    </xf>
    <xf numFmtId="0" fontId="80" fillId="2" borderId="1" xfId="25" applyFont="1" applyFill="1" applyBorder="1" applyAlignment="1">
      <alignment horizontal="left" vertical="center"/>
    </xf>
    <xf numFmtId="0" fontId="80" fillId="2" borderId="20" xfId="25" applyFont="1" applyFill="1" applyBorder="1" applyAlignment="1">
      <alignment horizontal="left" vertical="center"/>
    </xf>
    <xf numFmtId="0" fontId="77" fillId="0" borderId="1" xfId="25" applyFont="1" applyBorder="1" applyAlignment="1">
      <alignment horizontal="left" vertical="center"/>
    </xf>
    <xf numFmtId="0" fontId="2" fillId="14" borderId="81" xfId="25" applyFont="1" applyFill="1" applyBorder="1" applyAlignment="1">
      <alignment horizontal="center" vertical="center"/>
    </xf>
    <xf numFmtId="0" fontId="2" fillId="14" borderId="28" xfId="25" applyFont="1" applyFill="1" applyBorder="1" applyAlignment="1">
      <alignment horizontal="center" vertical="center"/>
    </xf>
    <xf numFmtId="0" fontId="2" fillId="14" borderId="30" xfId="25" applyFont="1" applyFill="1" applyBorder="1" applyAlignment="1">
      <alignment horizontal="center" vertical="center"/>
    </xf>
    <xf numFmtId="0" fontId="2" fillId="2" borderId="81" xfId="25" applyFont="1" applyFill="1" applyBorder="1" applyAlignment="1">
      <alignment horizontal="center" vertical="center"/>
    </xf>
    <xf numFmtId="0" fontId="2" fillId="2" borderId="29" xfId="25" applyFont="1" applyFill="1" applyBorder="1" applyAlignment="1">
      <alignment horizontal="center" vertical="center"/>
    </xf>
  </cellXfs>
  <cellStyles count="28">
    <cellStyle name="Comma" xfId="1" builtinId="3"/>
    <cellStyle name="Comma 10" xfId="7" xr:uid="{00000000-0005-0000-0000-000001000000}"/>
    <cellStyle name="Comma 11" xfId="12" xr:uid="{00000000-0005-0000-0000-000002000000}"/>
    <cellStyle name="Comma 11 2" xfId="15" xr:uid="{00000000-0005-0000-0000-000003000000}"/>
    <cellStyle name="Comma 2" xfId="4" xr:uid="{00000000-0005-0000-0000-000004000000}"/>
    <cellStyle name="Comma 2 2 3" xfId="24" xr:uid="{00000000-0005-0000-0000-000005000000}"/>
    <cellStyle name="Comma 2 5" xfId="8" xr:uid="{00000000-0005-0000-0000-000006000000}"/>
    <cellStyle name="Comma 22" xfId="20" xr:uid="{00000000-0005-0000-0000-000007000000}"/>
    <cellStyle name="Comma 28" xfId="27" xr:uid="{00000000-0005-0000-0000-000008000000}"/>
    <cellStyle name="Comma 3" xfId="14" xr:uid="{00000000-0005-0000-0000-000009000000}"/>
    <cellStyle name="Comma 4" xfId="17" xr:uid="{00000000-0005-0000-0000-00000A000000}"/>
    <cellStyle name="Comma 5" xfId="19" xr:uid="{00000000-0005-0000-0000-00000B000000}"/>
    <cellStyle name="Normal" xfId="0" builtinId="0"/>
    <cellStyle name="Normal 11" xfId="5" xr:uid="{00000000-0005-0000-0000-00000D000000}"/>
    <cellStyle name="Normal 17" xfId="25" xr:uid="{00000000-0005-0000-0000-00000E000000}"/>
    <cellStyle name="Normal 2" xfId="3" xr:uid="{00000000-0005-0000-0000-00000F000000}"/>
    <cellStyle name="Normal 2 10" xfId="23" xr:uid="{00000000-0005-0000-0000-000010000000}"/>
    <cellStyle name="Normal 2 7" xfId="6" xr:uid="{00000000-0005-0000-0000-000011000000}"/>
    <cellStyle name="Normal 22" xfId="21" xr:uid="{00000000-0005-0000-0000-000012000000}"/>
    <cellStyle name="Normal 24" xfId="22" xr:uid="{00000000-0005-0000-0000-000013000000}"/>
    <cellStyle name="Normal 29 2" xfId="26" xr:uid="{00000000-0005-0000-0000-000014000000}"/>
    <cellStyle name="Normal 3" xfId="10" xr:uid="{00000000-0005-0000-0000-000015000000}"/>
    <cellStyle name="Percent" xfId="2" builtinId="5"/>
    <cellStyle name="Percent 2" xfId="11" xr:uid="{00000000-0005-0000-0000-000017000000}"/>
    <cellStyle name="Percent 2 2" xfId="18" xr:uid="{00000000-0005-0000-0000-000018000000}"/>
    <cellStyle name="Percent 4" xfId="13" xr:uid="{00000000-0005-0000-0000-000019000000}"/>
    <cellStyle name="Percent 4 2" xfId="16" xr:uid="{00000000-0005-0000-0000-00001A000000}"/>
    <cellStyle name="Percent 7" xfId="9" xr:uid="{00000000-0005-0000-0000-00001B000000}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42" Type="http://schemas.openxmlformats.org/officeDocument/2006/relationships/externalLink" Target="externalLinks/externalLink1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externalLink" Target="externalLinks/externalLink9.xml"/><Relationship Id="rId40" Type="http://schemas.openxmlformats.org/officeDocument/2006/relationships/externalLink" Target="externalLinks/externalLink1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Relationship Id="rId43" Type="http://schemas.openxmlformats.org/officeDocument/2006/relationships/externalLink" Target="externalLinks/externalLink1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externalLink" Target="externalLinks/externalLink10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13585</xdr:rowOff>
    </xdr:from>
    <xdr:to>
      <xdr:col>2</xdr:col>
      <xdr:colOff>24344</xdr:colOff>
      <xdr:row>4</xdr:row>
      <xdr:rowOff>222750</xdr:rowOff>
    </xdr:to>
    <xdr:cxnSp macro="">
      <xdr:nvCxnSpPr>
        <xdr:cNvPr id="3" name="直線コネクタ 4">
          <a:extLst>
            <a:ext uri="{FF2B5EF4-FFF2-40B4-BE49-F238E27FC236}">
              <a16:creationId xmlns:a16="http://schemas.microsoft.com/office/drawing/2014/main" id="{D1FCE81A-F31F-42B6-9FA3-DAFB90B1E676}"/>
            </a:ext>
          </a:extLst>
        </xdr:cNvPr>
        <xdr:cNvCxnSpPr/>
      </xdr:nvCxnSpPr>
      <xdr:spPr>
        <a:xfrm flipH="1" flipV="1">
          <a:off x="390525" y="766060"/>
          <a:ext cx="2072219" cy="62826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3</xdr:row>
      <xdr:rowOff>9525</xdr:rowOff>
    </xdr:from>
    <xdr:to>
      <xdr:col>3</xdr:col>
      <xdr:colOff>3667126</xdr:colOff>
      <xdr:row>5</xdr:row>
      <xdr:rowOff>1</xdr:rowOff>
    </xdr:to>
    <xdr:cxnSp macro="">
      <xdr:nvCxnSpPr>
        <xdr:cNvPr id="2" name="直線コネクタ 4">
          <a:extLst>
            <a:ext uri="{FF2B5EF4-FFF2-40B4-BE49-F238E27FC236}">
              <a16:creationId xmlns:a16="http://schemas.microsoft.com/office/drawing/2014/main" id="{A50952B2-84EA-4676-97E4-2E00AF5606A8}"/>
            </a:ext>
          </a:extLst>
        </xdr:cNvPr>
        <xdr:cNvCxnSpPr/>
      </xdr:nvCxnSpPr>
      <xdr:spPr>
        <a:xfrm flipH="1" flipV="1">
          <a:off x="742950" y="647700"/>
          <a:ext cx="3648076" cy="60960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L3NT\CORPFINSHARE\FORECAST\Fcst2q01\FLASH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kimotho/Documents/Mike%20documents/Mike/mkimotho.AWSBOARD/Documents/Finance%202008/Finance%202008/NWSC/Tarriff%202011/Tariff%202014/NWSC%20Tariff%20Annexes%20-Final%20Version%20AWSB%20review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20%20Fixed%20Assets%20Register%20&amp;%20Testing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Plant%20and%20Machinery%20Combined%20Leadsheet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L3NT\CORPFINSHARE\FORECAST\Fcst2q01\COS_bs&amp;cf_0313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kimotho.AWSBOARD\AppData\Local\Microsoft\Windows\Temporary%20Internet%20Files\Content.Outlook\REKZL75D\Master%20Plan%20Financial%20model\Nairobi%20WS%20Stage%201%20Finance%20Model%2023%20June%202012%20KE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chuodho/Documents/Copy%20of%20KACWASCO%20PROPOSED%20TARIFF%20MODEL%20%2026-08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fsjmms1\ibd\TEMP\Compco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kimotho.AWSBOARD\AppData\Local\Microsoft\Windows\Temporary%20Internet%20Files\Content.Outlook\REKZL75D\FORECAST\Fcst1q02\Calendarized%20on%20February%208,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kimotho.AWSBOARD/Documents/Finance%202008/Mike/CWSB%20Stuff/financialmodel_10%25%20tariffs_increasi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C/CFS/REPORTS/Year%202008/Oceanfreight%20(KE)/Financial%20Model/Gateway%20Marine%20Services%20Financial%20Model%20v1%20draft%20final%20after%20RNN%20revi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kimotho.AWSBOARD\AppData\Local\Microsoft\Windows\Temporary%20Internet%20Files\Content.Outlook\REKZL75D\DOKUME~1\sandmann\LOKALE~1\Temp\ZGTemp\Databook%20Project%20River%20draft%20LLO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kimotho.AWSBOARD\AppData\Local\Microsoft\Windows\Temporary%20Internet%20Files\Content.Outlook\REKZL75D\X3\X3c\MODELLING\Projects\X3e%20(LBOs)\Vivonio,%20Germany\2012-06%20Equistone\120717f%20FM%20Vivonio_TS%20Equistone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Opening%20Balances-%20INTERI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kimotho\Documents\Finance%202008\NWSC\Final%20NWSC%20Submission\Annexes_-_Nairobi_Area_Final-5%20feb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SH"/>
      <sheetName val="2001 ACT"/>
      <sheetName val="2001 BUD"/>
      <sheetName val="2000 ACT"/>
      <sheetName val="2001 FCST"/>
      <sheetName val="Airtours"/>
      <sheetName val="Ret Bud"/>
      <sheetName val="Ret 2000"/>
      <sheetName val="Ret 2001"/>
      <sheetName val="Ret Fcst."/>
      <sheetName val="Übersicht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s"/>
      <sheetName val="Annex 2"/>
      <sheetName val="Annex 3a"/>
      <sheetName val="Annex 3b"/>
      <sheetName val="Annex 4 Debt WSP-WSB"/>
      <sheetName val="Annex 5a Perf WSP"/>
      <sheetName val="Annex 5b Perfc WSB"/>
      <sheetName val="Annex 6 Calc of A T"/>
      <sheetName val="Annex 7 Tariff Str"/>
      <sheetName val="Annex 8 Tariff Schdl"/>
      <sheetName val="Annex 9 General Perf Assm't"/>
      <sheetName val="Annex 10; Checklist"/>
      <sheetName val="NWSC Data"/>
      <sheetName val="Banding"/>
      <sheetName val="AWSB Financials"/>
      <sheetName val="Consumption"/>
      <sheetName val="Sheet1"/>
      <sheetName val="10.Total Loan ADB AFD &amp;WB (2)"/>
      <sheetName val="Turnover"/>
      <sheetName val="Sheet1 (2)"/>
      <sheetName val="2.Financial Analysis AWSB"/>
      <sheetName val="WaSSIP Loan 2 Schedule"/>
      <sheetName val="Nairobi Investment plan"/>
      <sheetName val="Sheet9"/>
      <sheetName val="Sheet10"/>
      <sheetName val="NCWSC Investment plan"/>
      <sheetName val="NCWSC Consolidated investment p"/>
      <sheetName val="Athi water investments"/>
      <sheetName val="Sheet2"/>
      <sheetName val="Impact"/>
      <sheetName val="Sheet4"/>
    </sheetNames>
    <sheetDataSet>
      <sheetData sheetId="0"/>
      <sheetData sheetId="1"/>
      <sheetData sheetId="2"/>
      <sheetData sheetId="3">
        <row r="110">
          <cell r="B110" t="str">
            <v>Debt Service Requirements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Summary"/>
      <sheetName val="Movement"/>
      <sheetName val="Assets Register - Interim"/>
      <sheetName val="Assets Register - interim 2006"/>
      <sheetName val="Opening balances"/>
      <sheetName val="Depreciation summary"/>
      <sheetName val="Disposal"/>
      <sheetName val="Additions"/>
      <sheetName val="Repairs and maintenance"/>
      <sheetName val="Insurance cover review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ovement"/>
      <sheetName val="Tickmarks"/>
    </sheetNames>
    <sheetDataSet>
      <sheetData sheetId="0" refreshError="1">
        <row r="27">
          <cell r="K27">
            <v>-131642.82999999999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lance sheet "/>
      <sheetName val="Cash flow"/>
      <sheetName val="Detail"/>
      <sheetName val="Lead PL"/>
      <sheetName val="PL20"/>
      <sheetName val="Cover"/>
    </sheetNames>
    <sheetDataSet>
      <sheetData sheetId="0">
        <row r="2">
          <cell r="A2" t="str">
            <v>1000</v>
          </cell>
          <cell r="C2" t="str">
            <v>4000</v>
          </cell>
        </row>
        <row r="3">
          <cell r="A3" t="str">
            <v>1000</v>
          </cell>
          <cell r="C3" t="str">
            <v>4020</v>
          </cell>
        </row>
        <row r="4">
          <cell r="A4" t="str">
            <v>1000</v>
          </cell>
          <cell r="C4" t="str">
            <v>5740</v>
          </cell>
        </row>
        <row r="5">
          <cell r="A5" t="str">
            <v>1100</v>
          </cell>
          <cell r="C5" t="str">
            <v>4060</v>
          </cell>
        </row>
        <row r="6">
          <cell r="A6" t="str">
            <v>1240</v>
          </cell>
          <cell r="C6" t="str">
            <v>4100</v>
          </cell>
        </row>
        <row r="7">
          <cell r="A7" t="str">
            <v>1240</v>
          </cell>
          <cell r="C7" t="str">
            <v>4120</v>
          </cell>
        </row>
        <row r="8">
          <cell r="A8" t="str">
            <v>1240</v>
          </cell>
          <cell r="C8" t="str">
            <v>4160</v>
          </cell>
        </row>
        <row r="9">
          <cell r="A9" t="str">
            <v>1281</v>
          </cell>
          <cell r="C9" t="str">
            <v>4200</v>
          </cell>
        </row>
        <row r="10">
          <cell r="A10" t="str">
            <v>1300</v>
          </cell>
          <cell r="C10" t="str">
            <v>4860</v>
          </cell>
        </row>
        <row r="11">
          <cell r="A11" t="str">
            <v>1300</v>
          </cell>
          <cell r="C11" t="str">
            <v>4880</v>
          </cell>
        </row>
        <row r="12">
          <cell r="A12" t="str">
            <v>1480</v>
          </cell>
          <cell r="C12" t="str">
            <v>4850</v>
          </cell>
        </row>
        <row r="13">
          <cell r="A13" t="str">
            <v>1490</v>
          </cell>
          <cell r="C13" t="str">
            <v>4780</v>
          </cell>
        </row>
        <row r="14">
          <cell r="A14" t="str">
            <v>1490</v>
          </cell>
          <cell r="C14" t="str">
            <v>4800</v>
          </cell>
        </row>
        <row r="15">
          <cell r="A15" t="str">
            <v>1490</v>
          </cell>
          <cell r="C15" t="str">
            <v>4820</v>
          </cell>
        </row>
        <row r="16">
          <cell r="A16" t="str">
            <v>1490</v>
          </cell>
          <cell r="C16" t="str">
            <v>4825</v>
          </cell>
        </row>
        <row r="17">
          <cell r="A17" t="str">
            <v>1490</v>
          </cell>
          <cell r="C17" t="str">
            <v>4835</v>
          </cell>
        </row>
        <row r="18">
          <cell r="A18" t="str">
            <v>1490</v>
          </cell>
          <cell r="C18" t="str">
            <v>4836</v>
          </cell>
        </row>
        <row r="19">
          <cell r="A19" t="str">
            <v>1490</v>
          </cell>
          <cell r="C19" t="str">
            <v>4837</v>
          </cell>
        </row>
        <row r="20">
          <cell r="A20" t="str">
            <v>1490</v>
          </cell>
          <cell r="C20" t="str">
            <v>4920</v>
          </cell>
        </row>
        <row r="21">
          <cell r="A21" t="str">
            <v>1490</v>
          </cell>
          <cell r="C21" t="str">
            <v>4940</v>
          </cell>
        </row>
        <row r="22">
          <cell r="A22" t="str">
            <v>1490</v>
          </cell>
          <cell r="C22" t="str">
            <v>5100</v>
          </cell>
        </row>
        <row r="23">
          <cell r="A23" t="str">
            <v>1495</v>
          </cell>
          <cell r="C23" t="str">
            <v>4830</v>
          </cell>
        </row>
        <row r="24">
          <cell r="A24" t="str">
            <v>1500</v>
          </cell>
          <cell r="C24" t="str">
            <v>5280</v>
          </cell>
        </row>
        <row r="25">
          <cell r="A25" t="str">
            <v>1500</v>
          </cell>
          <cell r="C25" t="str">
            <v>5285</v>
          </cell>
        </row>
        <row r="26">
          <cell r="A26" t="str">
            <v>1500</v>
          </cell>
          <cell r="C26" t="str">
            <v>5300</v>
          </cell>
        </row>
        <row r="27">
          <cell r="A27" t="str">
            <v>1500</v>
          </cell>
          <cell r="C27" t="str">
            <v>5304</v>
          </cell>
        </row>
        <row r="28">
          <cell r="A28" t="str">
            <v>1500</v>
          </cell>
          <cell r="C28" t="str">
            <v>5305</v>
          </cell>
        </row>
        <row r="29">
          <cell r="A29" t="str">
            <v>1500</v>
          </cell>
          <cell r="C29" t="str">
            <v>5306</v>
          </cell>
        </row>
        <row r="30">
          <cell r="A30" t="str">
            <v>1500</v>
          </cell>
          <cell r="C30" t="str">
            <v>5307</v>
          </cell>
        </row>
        <row r="31">
          <cell r="A31" t="str">
            <v>1500</v>
          </cell>
          <cell r="C31" t="str">
            <v>5308</v>
          </cell>
        </row>
        <row r="32">
          <cell r="A32" t="str">
            <v>1500</v>
          </cell>
          <cell r="C32" t="str">
            <v>5309</v>
          </cell>
        </row>
        <row r="33">
          <cell r="A33" t="str">
            <v>1500</v>
          </cell>
          <cell r="C33" t="str">
            <v>5310</v>
          </cell>
        </row>
        <row r="34">
          <cell r="A34" t="str">
            <v>1500</v>
          </cell>
          <cell r="C34" t="str">
            <v>5420</v>
          </cell>
        </row>
        <row r="35">
          <cell r="A35" t="str">
            <v>1500</v>
          </cell>
          <cell r="C35" t="str">
            <v>5480</v>
          </cell>
        </row>
        <row r="36">
          <cell r="A36" t="str">
            <v>1500</v>
          </cell>
          <cell r="C36" t="str">
            <v>5500</v>
          </cell>
        </row>
        <row r="37">
          <cell r="A37" t="str">
            <v>1500</v>
          </cell>
          <cell r="C37" t="str">
            <v>5520</v>
          </cell>
        </row>
        <row r="38">
          <cell r="A38" t="str">
            <v>1500</v>
          </cell>
          <cell r="C38" t="str">
            <v>5560</v>
          </cell>
        </row>
        <row r="39">
          <cell r="A39" t="str">
            <v>1500</v>
          </cell>
          <cell r="C39" t="str">
            <v>5565</v>
          </cell>
        </row>
        <row r="40">
          <cell r="A40" t="str">
            <v>1501</v>
          </cell>
          <cell r="C40" t="str">
            <v>5540</v>
          </cell>
        </row>
        <row r="41">
          <cell r="A41" t="str">
            <v>1502</v>
          </cell>
          <cell r="C41" t="str">
            <v>5640</v>
          </cell>
        </row>
        <row r="42">
          <cell r="A42" t="str">
            <v>1505</v>
          </cell>
          <cell r="C42" t="str">
            <v>5320</v>
          </cell>
        </row>
        <row r="43">
          <cell r="A43" t="str">
            <v>1550</v>
          </cell>
          <cell r="C43" t="str">
            <v>5360</v>
          </cell>
        </row>
        <row r="44">
          <cell r="A44" t="str">
            <v>1550</v>
          </cell>
          <cell r="C44" t="str">
            <v>5365</v>
          </cell>
        </row>
        <row r="45">
          <cell r="A45" t="str">
            <v>1550</v>
          </cell>
          <cell r="C45" t="str">
            <v>5380</v>
          </cell>
        </row>
        <row r="46">
          <cell r="A46" t="str">
            <v>1550</v>
          </cell>
          <cell r="C46" t="str">
            <v>5384</v>
          </cell>
        </row>
        <row r="47">
          <cell r="A47" t="str">
            <v>1550</v>
          </cell>
          <cell r="C47" t="str">
            <v>5385</v>
          </cell>
        </row>
        <row r="48">
          <cell r="A48" t="str">
            <v>1550</v>
          </cell>
          <cell r="C48" t="str">
            <v>5386</v>
          </cell>
        </row>
        <row r="49">
          <cell r="A49" t="str">
            <v>1550</v>
          </cell>
          <cell r="C49" t="str">
            <v>5387</v>
          </cell>
        </row>
        <row r="50">
          <cell r="A50" t="str">
            <v>1550</v>
          </cell>
          <cell r="C50" t="str">
            <v>5388</v>
          </cell>
        </row>
        <row r="51">
          <cell r="A51" t="str">
            <v>1550</v>
          </cell>
          <cell r="C51" t="str">
            <v>5389</v>
          </cell>
        </row>
        <row r="52">
          <cell r="A52" t="str">
            <v>1550</v>
          </cell>
          <cell r="C52" t="str">
            <v>5390</v>
          </cell>
        </row>
        <row r="53">
          <cell r="A53" t="str">
            <v>1550</v>
          </cell>
          <cell r="C53" t="str">
            <v>5440</v>
          </cell>
        </row>
        <row r="54">
          <cell r="A54" t="str">
            <v>1550</v>
          </cell>
          <cell r="C54" t="str">
            <v>5580</v>
          </cell>
        </row>
        <row r="55">
          <cell r="A55" t="str">
            <v>1550</v>
          </cell>
          <cell r="C55" t="str">
            <v>5600</v>
          </cell>
        </row>
        <row r="56">
          <cell r="A56" t="str">
            <v>1550</v>
          </cell>
          <cell r="C56" t="str">
            <v>5620</v>
          </cell>
        </row>
        <row r="57">
          <cell r="A57" t="str">
            <v>1550</v>
          </cell>
          <cell r="C57" t="str">
            <v>5660</v>
          </cell>
        </row>
        <row r="58">
          <cell r="A58" t="str">
            <v>1550</v>
          </cell>
          <cell r="C58" t="str">
            <v>5665</v>
          </cell>
        </row>
        <row r="59">
          <cell r="A59" t="str">
            <v>1790</v>
          </cell>
          <cell r="C59" t="str">
            <v>5160</v>
          </cell>
        </row>
        <row r="60">
          <cell r="A60" t="str">
            <v>1795</v>
          </cell>
          <cell r="C60" t="str">
            <v>5230</v>
          </cell>
        </row>
        <row r="61">
          <cell r="A61" t="str">
            <v>1800</v>
          </cell>
          <cell r="C61" t="str">
            <v>5220</v>
          </cell>
        </row>
        <row r="62">
          <cell r="A62" t="str">
            <v>1811</v>
          </cell>
          <cell r="C62" t="str">
            <v>5240</v>
          </cell>
        </row>
        <row r="63">
          <cell r="A63" t="str">
            <v>1820</v>
          </cell>
          <cell r="C63" t="str">
            <v>5090</v>
          </cell>
        </row>
        <row r="64">
          <cell r="A64" t="str">
            <v>2000</v>
          </cell>
          <cell r="C64" t="str">
            <v>5780</v>
          </cell>
        </row>
        <row r="65">
          <cell r="A65" t="str">
            <v>2000</v>
          </cell>
          <cell r="C65" t="str">
            <v>5800</v>
          </cell>
        </row>
        <row r="66">
          <cell r="A66" t="str">
            <v>2090</v>
          </cell>
          <cell r="C66" t="str">
            <v>5840</v>
          </cell>
        </row>
        <row r="67">
          <cell r="A67" t="str">
            <v>2090</v>
          </cell>
          <cell r="C67" t="str">
            <v>6330</v>
          </cell>
        </row>
        <row r="68">
          <cell r="A68" t="str">
            <v>2090</v>
          </cell>
          <cell r="C68" t="str">
            <v>6400</v>
          </cell>
        </row>
        <row r="69">
          <cell r="A69" t="str">
            <v>2090</v>
          </cell>
          <cell r="C69" t="str">
            <v>6420</v>
          </cell>
        </row>
        <row r="70">
          <cell r="A70" t="str">
            <v>2090</v>
          </cell>
          <cell r="C70" t="str">
            <v>6440</v>
          </cell>
        </row>
        <row r="71">
          <cell r="A71" t="str">
            <v>2090</v>
          </cell>
          <cell r="C71" t="str">
            <v>6460</v>
          </cell>
        </row>
        <row r="72">
          <cell r="A72" t="str">
            <v>2100</v>
          </cell>
          <cell r="C72" t="str">
            <v>6450</v>
          </cell>
        </row>
        <row r="73">
          <cell r="A73" t="str">
            <v>2190</v>
          </cell>
          <cell r="C73" t="str">
            <v>6520</v>
          </cell>
        </row>
        <row r="74">
          <cell r="A74" t="str">
            <v>2190</v>
          </cell>
          <cell r="C74" t="str">
            <v>6540</v>
          </cell>
        </row>
        <row r="75">
          <cell r="A75" t="str">
            <v>2190</v>
          </cell>
          <cell r="C75" t="str">
            <v>6660</v>
          </cell>
        </row>
        <row r="76">
          <cell r="A76" t="str">
            <v>2190</v>
          </cell>
          <cell r="C76" t="str">
            <v>6665</v>
          </cell>
        </row>
        <row r="77">
          <cell r="A77" t="str">
            <v>2190</v>
          </cell>
          <cell r="C77" t="str">
            <v>6670</v>
          </cell>
        </row>
        <row r="78">
          <cell r="A78" t="str">
            <v>2190</v>
          </cell>
          <cell r="C78" t="str">
            <v>6860</v>
          </cell>
        </row>
        <row r="79">
          <cell r="A79" t="str">
            <v>2195</v>
          </cell>
          <cell r="C79" t="str">
            <v>6659</v>
          </cell>
        </row>
        <row r="80">
          <cell r="A80" t="str">
            <v>2200</v>
          </cell>
          <cell r="C80" t="str">
            <v>6500</v>
          </cell>
        </row>
        <row r="81">
          <cell r="A81" t="str">
            <v>2400</v>
          </cell>
          <cell r="C81" t="str">
            <v>4680</v>
          </cell>
        </row>
        <row r="82">
          <cell r="A82" t="str">
            <v>2400</v>
          </cell>
          <cell r="C82" t="str">
            <v>6280</v>
          </cell>
        </row>
        <row r="83">
          <cell r="A83" t="str">
            <v>2500</v>
          </cell>
          <cell r="C83" t="str">
            <v>5760</v>
          </cell>
        </row>
        <row r="84">
          <cell r="A84" t="str">
            <v>2520</v>
          </cell>
          <cell r="C84" t="str">
            <v>6700</v>
          </cell>
        </row>
        <row r="85">
          <cell r="A85" t="str">
            <v>2520</v>
          </cell>
          <cell r="C85" t="str">
            <v>6720</v>
          </cell>
        </row>
        <row r="86">
          <cell r="A86" t="str">
            <v>2520</v>
          </cell>
          <cell r="C86" t="str">
            <v>6760</v>
          </cell>
        </row>
        <row r="87">
          <cell r="A87" t="str">
            <v>2600</v>
          </cell>
          <cell r="C87" t="str">
            <v>6900</v>
          </cell>
        </row>
        <row r="88">
          <cell r="A88" t="str">
            <v>2610</v>
          </cell>
          <cell r="C88" t="str">
            <v>6850</v>
          </cell>
        </row>
        <row r="89">
          <cell r="A89" t="str">
            <v>2695</v>
          </cell>
          <cell r="C89" t="str">
            <v>6840</v>
          </cell>
        </row>
        <row r="90">
          <cell r="A90" t="str">
            <v>3000</v>
          </cell>
          <cell r="C90" t="str">
            <v>6940</v>
          </cell>
        </row>
        <row r="91">
          <cell r="A91" t="str">
            <v>3005</v>
          </cell>
          <cell r="C91" t="str">
            <v>6880</v>
          </cell>
        </row>
        <row r="92">
          <cell r="A92" t="str">
            <v>3100</v>
          </cell>
          <cell r="C92" t="str">
            <v>6980</v>
          </cell>
        </row>
        <row r="93">
          <cell r="A93" t="str">
            <v>3200</v>
          </cell>
          <cell r="C93" t="str">
            <v>6960</v>
          </cell>
        </row>
        <row r="94">
          <cell r="A94" t="str">
            <v>3200</v>
          </cell>
          <cell r="C94" t="str">
            <v>7040</v>
          </cell>
        </row>
        <row r="95">
          <cell r="A95" t="str">
            <v>3300</v>
          </cell>
          <cell r="C95" t="str">
            <v>7100</v>
          </cell>
        </row>
        <row r="96">
          <cell r="A96" t="str">
            <v>3310</v>
          </cell>
          <cell r="C96" t="str">
            <v>7070</v>
          </cell>
        </row>
        <row r="97">
          <cell r="A97" t="str">
            <v>3350</v>
          </cell>
          <cell r="C97" t="str">
            <v>7000</v>
          </cell>
        </row>
        <row r="98">
          <cell r="A98">
            <v>9999</v>
          </cell>
        </row>
        <row r="106">
          <cell r="A106" t="e">
            <v>#N/A</v>
          </cell>
        </row>
        <row r="107">
          <cell r="A107" t="e">
            <v>#N/A</v>
          </cell>
        </row>
        <row r="108">
          <cell r="A108" t="e">
            <v>#N/A</v>
          </cell>
        </row>
        <row r="109">
          <cell r="A109" t="e">
            <v>#N/A</v>
          </cell>
        </row>
        <row r="110">
          <cell r="A110" t="e">
            <v>#N/A</v>
          </cell>
        </row>
        <row r="111">
          <cell r="A111" t="e">
            <v>#N/A</v>
          </cell>
        </row>
        <row r="112">
          <cell r="A112" t="e">
            <v>#N/A</v>
          </cell>
        </row>
        <row r="113">
          <cell r="A113" t="e">
            <v>#N/A</v>
          </cell>
        </row>
        <row r="114">
          <cell r="A114" t="e">
            <v>#N/A</v>
          </cell>
        </row>
        <row r="115">
          <cell r="A115" t="e">
            <v>#N/A</v>
          </cell>
        </row>
        <row r="116">
          <cell r="A116" t="e">
            <v>#N/A</v>
          </cell>
        </row>
        <row r="117">
          <cell r="A117" t="e">
            <v>#N/A</v>
          </cell>
        </row>
        <row r="118">
          <cell r="A118" t="e">
            <v>#N/A</v>
          </cell>
        </row>
        <row r="119">
          <cell r="A119" t="e">
            <v>#N/A</v>
          </cell>
        </row>
        <row r="120">
          <cell r="A120" t="e">
            <v>#N/A</v>
          </cell>
        </row>
        <row r="121">
          <cell r="A121" t="e">
            <v>#N/A</v>
          </cell>
        </row>
        <row r="122">
          <cell r="A122" t="e">
            <v>#N/A</v>
          </cell>
        </row>
        <row r="123">
          <cell r="A123" t="e">
            <v>#N/A</v>
          </cell>
        </row>
        <row r="124">
          <cell r="A124" t="e">
            <v>#N/A</v>
          </cell>
        </row>
        <row r="125">
          <cell r="A125" t="e">
            <v>#N/A</v>
          </cell>
        </row>
        <row r="126">
          <cell r="A126" t="e">
            <v>#N/A</v>
          </cell>
        </row>
        <row r="127">
          <cell r="A127" t="e">
            <v>#N/A</v>
          </cell>
        </row>
        <row r="128">
          <cell r="A128" t="e">
            <v>#N/A</v>
          </cell>
        </row>
        <row r="129">
          <cell r="A129" t="e">
            <v>#N/A</v>
          </cell>
        </row>
        <row r="130">
          <cell r="A130" t="e">
            <v>#N/A</v>
          </cell>
        </row>
        <row r="131">
          <cell r="A131" t="e">
            <v>#N/A</v>
          </cell>
        </row>
        <row r="132">
          <cell r="A132" t="e">
            <v>#N/A</v>
          </cell>
        </row>
        <row r="133">
          <cell r="A133" t="e">
            <v>#N/A</v>
          </cell>
        </row>
        <row r="134">
          <cell r="A134" t="e">
            <v>#N/A</v>
          </cell>
        </row>
        <row r="135">
          <cell r="A135" t="e">
            <v>#N/A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PAGE"/>
      <sheetName val="CapEx"/>
      <sheetName val="OpEx"/>
      <sheetName val="REVENUE"/>
      <sheetName val="BS INPUTS"/>
      <sheetName val="FINANCIAL PROJECTION"/>
      <sheetName val="Water With &amp; Without"/>
      <sheetName val="AFFORDABILITY"/>
      <sheetName val="WACC"/>
      <sheetName val="FIRR"/>
      <sheetName val="FIRR_Vertical"/>
      <sheetName val="eco cost conv"/>
      <sheetName val="eco resource"/>
      <sheetName val="eirr"/>
      <sheetName val="Population"/>
      <sheetName val="Demand bdown2"/>
      <sheetName val="27Jan2012 1Q95"/>
      <sheetName val="NWC connections"/>
      <sheetName val="DV-IDENTITY-0"/>
    </sheetNames>
    <sheetDataSet>
      <sheetData sheetId="0">
        <row r="27">
          <cell r="E27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s"/>
      <sheetName val="Annex 2"/>
      <sheetName val="Annex 3 Total O&amp;M"/>
      <sheetName val="Annex 3a - Water"/>
      <sheetName val="Annex 3a- Sewer"/>
      <sheetName val="Annex 4 Debt WSP"/>
      <sheetName val="Annex 5 Perf WSP"/>
      <sheetName val="Annex 6 Calc AT"/>
      <sheetName val="Annex 7"/>
      <sheetName val="Annex 8"/>
      <sheetName val="Annex 9"/>
      <sheetName val="Annex 10"/>
      <sheetName val="Banding"/>
      <sheetName val="KACWASCO tariff bands"/>
      <sheetName val="Consumption pattern 2020.21"/>
      <sheetName val="Kakamega data"/>
      <sheetName val="Kakamega Financials"/>
      <sheetName val="1. World bank loan"/>
      <sheetName val="2. KfW Loan Schedule"/>
      <sheetName val="7.Combined  Loan  Schedule "/>
      <sheetName val=" Investments 2021-26"/>
      <sheetName val="Asset Renewal schedule"/>
      <sheetName val="Asset Maintenance "/>
      <sheetName val="NRW Self Assessment Matrix"/>
      <sheetName val="NRW Management "/>
    </sheetNames>
    <sheetDataSet>
      <sheetData sheetId="0"/>
      <sheetData sheetId="1">
        <row r="17">
          <cell r="H17">
            <v>3777233.5399999996</v>
          </cell>
          <cell r="I17">
            <v>3777233.5399999996</v>
          </cell>
          <cell r="J17">
            <v>3833610.1599999997</v>
          </cell>
          <cell r="K17">
            <v>3889986.78</v>
          </cell>
          <cell r="L17">
            <v>3946363.4</v>
          </cell>
        </row>
        <row r="61">
          <cell r="H61">
            <v>1025855.0051489872</v>
          </cell>
        </row>
      </sheetData>
      <sheetData sheetId="2"/>
      <sheetData sheetId="3"/>
      <sheetData sheetId="4"/>
      <sheetData sheetId="5"/>
      <sheetData sheetId="6"/>
      <sheetData sheetId="7">
        <row r="16">
          <cell r="E16">
            <v>4803088.5451489864</v>
          </cell>
        </row>
      </sheetData>
      <sheetData sheetId="8">
        <row r="14">
          <cell r="A14" t="str">
            <v xml:space="preserve">0-6m3 </v>
          </cell>
          <cell r="AQ14" t="str">
            <v xml:space="preserve">1-6m3 </v>
          </cell>
        </row>
        <row r="15">
          <cell r="A15" t="str">
            <v xml:space="preserve">7-20m3 </v>
          </cell>
          <cell r="AQ15" t="str">
            <v xml:space="preserve">7-20m3 </v>
          </cell>
        </row>
        <row r="16">
          <cell r="A16" t="str">
            <v xml:space="preserve">21-50m3 </v>
          </cell>
          <cell r="AQ16" t="str">
            <v xml:space="preserve">21-50m3 </v>
          </cell>
        </row>
        <row r="17">
          <cell r="A17" t="str">
            <v xml:space="preserve">51-100m3 </v>
          </cell>
          <cell r="AQ17" t="str">
            <v xml:space="preserve">51-100m3 </v>
          </cell>
        </row>
        <row r="18">
          <cell r="A18" t="str">
            <v xml:space="preserve">101-300m3 </v>
          </cell>
          <cell r="AQ18" t="str">
            <v xml:space="preserve">101-300m3 </v>
          </cell>
        </row>
        <row r="19">
          <cell r="A19" t="str">
            <v>&gt;300m3</v>
          </cell>
          <cell r="AQ19" t="str">
            <v>&gt;300m3</v>
          </cell>
        </row>
        <row r="23">
          <cell r="AQ23" t="str">
            <v xml:space="preserve">1-50m3 </v>
          </cell>
        </row>
        <row r="24">
          <cell r="AQ24" t="str">
            <v xml:space="preserve">51-100m3 </v>
          </cell>
        </row>
        <row r="25">
          <cell r="AQ25" t="str">
            <v xml:space="preserve">101-300m3 </v>
          </cell>
        </row>
        <row r="26">
          <cell r="AQ26" t="str">
            <v>&gt;300m3</v>
          </cell>
        </row>
        <row r="31">
          <cell r="AQ31" t="str">
            <v xml:space="preserve">1-50m3 </v>
          </cell>
        </row>
        <row r="32">
          <cell r="AQ32" t="str">
            <v xml:space="preserve">51-100m3 </v>
          </cell>
        </row>
        <row r="33">
          <cell r="AQ33" t="str">
            <v xml:space="preserve">101-300m3 </v>
          </cell>
        </row>
        <row r="34">
          <cell r="AQ34" t="str">
            <v>&gt;300m3</v>
          </cell>
        </row>
        <row r="40">
          <cell r="A40" t="str">
            <v>0-600</v>
          </cell>
          <cell r="AQ40" t="str">
            <v xml:space="preserve">1-600m3 </v>
          </cell>
        </row>
        <row r="41">
          <cell r="A41" t="str">
            <v>601-1200</v>
          </cell>
          <cell r="AQ41" t="str">
            <v>601-1200m3</v>
          </cell>
        </row>
        <row r="42">
          <cell r="A42" t="str">
            <v>&gt;1200</v>
          </cell>
          <cell r="AQ42" t="str">
            <v>&gt;1200m3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ummary"/>
      <sheetName val="Dat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r Codes"/>
      <sheetName val="Corporate Support"/>
      <sheetName val="Corporate Cruise Operations"/>
      <sheetName val="Eliminations"/>
      <sheetName val="Forecast revisions"/>
      <sheetName val="Interest Expense"/>
      <sheetName val="RCL Bonds"/>
      <sheetName val="Affiliate"/>
      <sheetName val="cash flow"/>
      <sheetName val="ret-act CF"/>
      <sheetName val="CF essbase-load"/>
      <sheetName val="ret-act BS"/>
      <sheetName val="BS essbase-load"/>
      <sheetName val="ret essbase"/>
      <sheetName val="CAS Cap Ex"/>
      <sheetName val="CF elim-load"/>
      <sheetName val="BS elim-loa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Data table &amp; Scenario Analysis"/>
      <sheetName val="Assumptions-Economy&amp;Business"/>
      <sheetName val="Assumptions-Loan Schedule"/>
      <sheetName val="Assumptions - Loan Schedule -WB"/>
      <sheetName val="Assumptions-Loan Schedule-AFD"/>
      <sheetName val="Assumptions - Prority Projects"/>
      <sheetName val="Assumptions - Capex Split"/>
      <sheetName val="Assumptions - fixed assets"/>
      <sheetName val="CWSB expenses with bulk WSP"/>
      <sheetName val="0506 accounts"/>
      <sheetName val="CWSB expenses &amp; assumtions"/>
      <sheetName val="Scope of works"/>
      <sheetName val="Assumptions - Investments"/>
      <sheetName val="Assumptions-Economy &amp;Business-b"/>
      <sheetName val="Summary of profitability"/>
      <sheetName val="CWSB"/>
      <sheetName val="Bulk"/>
      <sheetName val="Mombasa"/>
      <sheetName val="Malindi"/>
      <sheetName val="kimawasco"/>
      <sheetName val="KWAWASCO"/>
      <sheetName val="TAVEVO"/>
      <sheetName val="Tana River WSP"/>
      <sheetName val="Lamu"/>
    </sheetNames>
    <sheetDataSet>
      <sheetData sheetId="0"/>
      <sheetData sheetId="1" refreshError="1">
        <row r="14">
          <cell r="A14" t="str">
            <v>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Data table"/>
      <sheetName val="Analysis"/>
      <sheetName val="NTBA"/>
      <sheetName val="TBA"/>
      <sheetName val="Loan Schedule"/>
      <sheetName val="Fixed Assets Schedule"/>
      <sheetName val="Workings"/>
      <sheetName val="Financials"/>
      <sheetName val="Valuation"/>
      <sheetName val="Management Projections"/>
      <sheetName val="Multiples"/>
      <sheetName val="Report Tables"/>
      <sheetName val="Graphs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rans_Letter"/>
      <sheetName val="Index"/>
      <sheetName val="Check"/>
      <sheetName val="Abbreviations"/>
      <sheetName val="Lead Index"/>
      <sheetName val="Lead PL"/>
      <sheetName val="Lead CF "/>
      <sheetName val="Lead1"/>
      <sheetName val="Lead BS"/>
      <sheetName val="PL_Index"/>
      <sheetName val="PL1"/>
      <sheetName val="PL2"/>
      <sheetName val="PL3"/>
      <sheetName val="PL4"/>
      <sheetName val="PL5"/>
      <sheetName val="PL6"/>
      <sheetName val="PL7"/>
      <sheetName val="PL8"/>
      <sheetName val="PL9"/>
      <sheetName val="PL10"/>
      <sheetName val="PL11"/>
      <sheetName val="PL12"/>
      <sheetName val="PL13"/>
      <sheetName val="PL14"/>
      <sheetName val="PL15"/>
      <sheetName val="PL16"/>
      <sheetName val="PL17"/>
      <sheetName val="PL18"/>
      <sheetName val="PL19"/>
      <sheetName val="PL20"/>
      <sheetName val="PL21"/>
      <sheetName val="PL22"/>
      <sheetName val="PL23"/>
      <sheetName val="PL24"/>
      <sheetName val="PL25"/>
      <sheetName val="CF_Index"/>
      <sheetName val="CF1"/>
      <sheetName val="CF2"/>
      <sheetName val="CF3"/>
      <sheetName val="CF4"/>
      <sheetName val="BS_Index"/>
      <sheetName val="BS1"/>
      <sheetName val="BS2"/>
      <sheetName val="BS5"/>
      <sheetName val="BS6"/>
      <sheetName val="BS7"/>
      <sheetName val="BS8"/>
      <sheetName val="BS9"/>
      <sheetName val="BS10"/>
      <sheetName val="BS11"/>
      <sheetName val="BS13"/>
      <sheetName val="BS14"/>
      <sheetName val="BS16"/>
      <sheetName val="BS17"/>
      <sheetName val="G_Index"/>
      <sheetName val="G1"/>
      <sheetName val="G2"/>
      <sheetName val="G3"/>
      <sheetName val="G4"/>
      <sheetName val="Recon_Index"/>
      <sheetName val="R1"/>
      <sheetName val="R2"/>
      <sheetName val="R3"/>
      <sheetName val="R4"/>
      <sheetName val="Sheet12S"/>
      <sheetName val="Sheet8S"/>
      <sheetName val="Sheet4S"/>
    </sheetNames>
    <sheetDataSet>
      <sheetData sheetId="0" refreshError="1">
        <row r="14">
          <cell r="E14" t="str">
            <v>Initial Draft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C7" t="str">
            <v>Currency: €000</v>
          </cell>
          <cell r="E7" t="str">
            <v>Währung: €000</v>
          </cell>
        </row>
        <row r="9">
          <cell r="C9" t="str">
            <v>Sales</v>
          </cell>
          <cell r="E9" t="str">
            <v>Umsatzerlöse</v>
          </cell>
        </row>
        <row r="10">
          <cell r="C10" t="str">
            <v>Cost of sales</v>
          </cell>
          <cell r="E10" t="str">
            <v>Herstellungskosten der zur Umsatzerzielung erbr. Leistungen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 t="e">
            <v>#DIV/0!</v>
          </cell>
          <cell r="T10" t="e">
            <v>#DIV/0!</v>
          </cell>
        </row>
        <row r="11">
          <cell r="C11" t="str">
            <v>Gross profit</v>
          </cell>
          <cell r="E11" t="str">
            <v>Bruttoergebnis vom Umsatz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S11" t="e">
            <v>#DIV/0!</v>
          </cell>
          <cell r="T11" t="e">
            <v>#DIV/0!</v>
          </cell>
        </row>
        <row r="12">
          <cell r="C12" t="str">
            <v>Marketing &amp; sales costs</v>
          </cell>
          <cell r="E12" t="str">
            <v>Vertriebskosten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 t="e">
            <v>#DIV/0!</v>
          </cell>
          <cell r="T12" t="e">
            <v>#DIV/0!</v>
          </cell>
        </row>
        <row r="13">
          <cell r="C13" t="str">
            <v>Research &amp; development expenses</v>
          </cell>
          <cell r="E13" t="str">
            <v>Forschungs- und Entwicklungskosten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 t="e">
            <v>#DIV/0!</v>
          </cell>
          <cell r="T13" t="e">
            <v>#DIV/0!</v>
          </cell>
        </row>
        <row r="14">
          <cell r="C14" t="str">
            <v>General &amp; administration costs</v>
          </cell>
          <cell r="E14" t="str">
            <v>Allgemeine Verwaltungskosten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 t="e">
            <v>#DIV/0!</v>
          </cell>
          <cell r="T14" t="e">
            <v>#DIV/0!</v>
          </cell>
        </row>
        <row r="15">
          <cell r="C15" t="str">
            <v>Change in finished goods, inventories and work in process</v>
          </cell>
          <cell r="E15" t="str">
            <v>Bestandsveränderung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S15" t="e">
            <v>#DIV/0!</v>
          </cell>
          <cell r="T15" t="e">
            <v>#DIV/0!</v>
          </cell>
        </row>
        <row r="16">
          <cell r="C16" t="str">
            <v>Production for own plant and equipment</v>
          </cell>
          <cell r="E16" t="str">
            <v>Aktivierte Eigenleistung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 t="e">
            <v>#DIV/0!</v>
          </cell>
          <cell r="T16" t="e">
            <v>#DIV/0!</v>
          </cell>
        </row>
        <row r="17">
          <cell r="C17" t="str">
            <v>Total production</v>
          </cell>
          <cell r="E17" t="str">
            <v>Gesamtleistung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 t="e">
            <v>#DIV/0!</v>
          </cell>
          <cell r="T17" t="e">
            <v>#DIV/0!</v>
          </cell>
        </row>
        <row r="18">
          <cell r="D18" t="str">
            <v xml:space="preserve">Cost of raw materials, supplies and merchandise </v>
          </cell>
          <cell r="F18" t="str">
            <v>Roh-, Hilfs-und Betriebsstoffe und bezogene Waren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 t="e">
            <v>#DIV/0!</v>
          </cell>
          <cell r="T18" t="e">
            <v>#DIV/0!</v>
          </cell>
        </row>
        <row r="19">
          <cell r="D19" t="str">
            <v>Cost of purchased services</v>
          </cell>
          <cell r="F19" t="str">
            <v>Bezogene Leistungen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S19" t="e">
            <v>#DIV/0!</v>
          </cell>
          <cell r="T19" t="e">
            <v>#DIV/0!</v>
          </cell>
        </row>
        <row r="20">
          <cell r="C20" t="str">
            <v>Cost of materials and services</v>
          </cell>
          <cell r="E20" t="str">
            <v>Materialaufwand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 t="e">
            <v>#DIV/0!</v>
          </cell>
          <cell r="T20" t="e">
            <v>#DIV/0!</v>
          </cell>
        </row>
        <row r="21">
          <cell r="C21" t="str">
            <v>Raw margin</v>
          </cell>
          <cell r="E21" t="str">
            <v>Rohmarge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 t="e">
            <v>#DIV/0!</v>
          </cell>
          <cell r="T21" t="e">
            <v>#DIV/0!</v>
          </cell>
        </row>
        <row r="22">
          <cell r="D22" t="str">
            <v>Wages and salaries</v>
          </cell>
          <cell r="F22" t="str">
            <v>Löhne und Gehälter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 t="e">
            <v>#DIV/0!</v>
          </cell>
          <cell r="T22" t="e">
            <v>#DIV/0!</v>
          </cell>
        </row>
        <row r="23">
          <cell r="D23" t="str">
            <v>Social security, pension and other benefits</v>
          </cell>
          <cell r="F23" t="str">
            <v>Soziale Abgaben und Altersversorgung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 t="e">
            <v>#DIV/0!</v>
          </cell>
          <cell r="T23" t="e">
            <v>#DIV/0!</v>
          </cell>
        </row>
        <row r="24">
          <cell r="C24" t="str">
            <v>Personnel costs</v>
          </cell>
          <cell r="E24" t="str">
            <v>Personalaufwand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 t="e">
            <v>#DIV/0!</v>
          </cell>
          <cell r="T24" t="e">
            <v>#DIV/0!</v>
          </cell>
        </row>
        <row r="25">
          <cell r="C25" t="str">
            <v>Other operating income</v>
          </cell>
          <cell r="E25" t="str">
            <v>Sonstige betriebliche Erträge</v>
          </cell>
        </row>
        <row r="26">
          <cell r="C26" t="str">
            <v>Other operating costs</v>
          </cell>
          <cell r="E26" t="str">
            <v>Sonstige betriebliche Aufwendungen</v>
          </cell>
        </row>
        <row r="27">
          <cell r="C27" t="str">
            <v>Other taxes</v>
          </cell>
          <cell r="E27" t="str">
            <v>Sonstige Steuern</v>
          </cell>
        </row>
        <row r="28">
          <cell r="C28" t="str">
            <v>- Depreciation&amp;Amortization (already incl. above)</v>
          </cell>
          <cell r="E28" t="str">
            <v>- Abschreibungen (bereits oben enthalten)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 t="e">
            <v>#DIV/0!</v>
          </cell>
          <cell r="T28" t="e">
            <v>#DIV/0!</v>
          </cell>
        </row>
        <row r="29">
          <cell r="C29" t="str">
            <v>EBITDA</v>
          </cell>
          <cell r="E29" t="str">
            <v>EBITDA</v>
          </cell>
        </row>
        <row r="30">
          <cell r="C30" t="str">
            <v>Amortization of intangibles</v>
          </cell>
          <cell r="E30" t="str">
            <v xml:space="preserve">Abschreibungen auf immaterielle VG </v>
          </cell>
        </row>
        <row r="31">
          <cell r="C31" t="str">
            <v>Depreciation</v>
          </cell>
          <cell r="E31" t="str">
            <v>Abschreibungen auf Sachanlagen</v>
          </cell>
        </row>
        <row r="32">
          <cell r="C32" t="str">
            <v>EBIT</v>
          </cell>
          <cell r="E32" t="str">
            <v>EBIT</v>
          </cell>
        </row>
        <row r="33">
          <cell r="D33" t="str">
            <v>Interest income</v>
          </cell>
          <cell r="F33" t="str">
            <v>Sonstige Zinsen und ähnliche Erträge</v>
          </cell>
        </row>
        <row r="34">
          <cell r="D34" t="str">
            <v>Interest expense</v>
          </cell>
          <cell r="F34" t="str">
            <v>Zinsen und ähnliche Aufwendungen</v>
          </cell>
        </row>
        <row r="35">
          <cell r="D35" t="str">
            <v>Income from investments</v>
          </cell>
          <cell r="F35" t="str">
            <v>Erträge aus Beteiligungen</v>
          </cell>
        </row>
        <row r="36">
          <cell r="D36" t="str">
            <v>Financial assets write downs</v>
          </cell>
          <cell r="F36" t="str">
            <v>Abschreibungen auf Finanzanlagen und WP des UV</v>
          </cell>
        </row>
        <row r="37">
          <cell r="C37" t="str">
            <v>Financial result</v>
          </cell>
          <cell r="E37" t="str">
            <v>Finanzergebnis</v>
          </cell>
        </row>
        <row r="38">
          <cell r="C38" t="str">
            <v>Extraordinary result</v>
          </cell>
          <cell r="E38" t="str">
            <v>Ausserordentliches Ergebnis</v>
          </cell>
        </row>
        <row r="39">
          <cell r="C39" t="str">
            <v>EBT</v>
          </cell>
          <cell r="E39" t="str">
            <v>EBT</v>
          </cell>
        </row>
        <row r="40">
          <cell r="C40" t="str">
            <v>Income taxes</v>
          </cell>
          <cell r="E40" t="str">
            <v>Steuern vom Einkommen und vom Ertrag</v>
          </cell>
        </row>
        <row r="41">
          <cell r="C41" t="str">
            <v>Net income (loss)</v>
          </cell>
          <cell r="E41" t="str">
            <v>Jahresüberschuss (Jahresfehlbetrag)</v>
          </cell>
        </row>
        <row r="58">
          <cell r="C58" t="str">
            <v>Sales</v>
          </cell>
          <cell r="E58" t="str">
            <v>Umsatzerlöse</v>
          </cell>
        </row>
        <row r="59">
          <cell r="C59" t="str">
            <v>Gross profit</v>
          </cell>
          <cell r="E59" t="str">
            <v>Bruttoergebnis vom Umsatz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 t="e">
            <v>#DIV/0!</v>
          </cell>
          <cell r="T59" t="e">
            <v>#DIV/0!</v>
          </cell>
        </row>
        <row r="60">
          <cell r="C60" t="str">
            <v>Sales general &amp; administrative costs</v>
          </cell>
          <cell r="E60" t="str">
            <v>Vertriebs-, F&amp;E- und Verwaltungskosten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 t="e">
            <v>#DIV/0!</v>
          </cell>
          <cell r="T60" t="e">
            <v>#DIV/0!</v>
          </cell>
        </row>
        <row r="61">
          <cell r="C61" t="str">
            <v>Cost of materials and services</v>
          </cell>
          <cell r="E61" t="str">
            <v>Materialaufwand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 t="e">
            <v>#DIV/0!</v>
          </cell>
          <cell r="T61" t="e">
            <v>#DIV/0!</v>
          </cell>
        </row>
        <row r="62">
          <cell r="C62" t="str">
            <v>Personnel costs</v>
          </cell>
          <cell r="E62" t="str">
            <v>Personalaufwand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 t="e">
            <v>#DIV/0!</v>
          </cell>
          <cell r="T62" t="e">
            <v>#DIV/0!</v>
          </cell>
        </row>
        <row r="63">
          <cell r="C63" t="str">
            <v>EBITDA</v>
          </cell>
          <cell r="E63" t="str">
            <v>EBITDA</v>
          </cell>
        </row>
        <row r="64">
          <cell r="C64" t="str">
            <v>EBITDA normalized</v>
          </cell>
          <cell r="E64" t="str">
            <v>EBITDA normalisiert</v>
          </cell>
        </row>
        <row r="65">
          <cell r="C65" t="str">
            <v>EBIT</v>
          </cell>
          <cell r="E65" t="str">
            <v>EBIT</v>
          </cell>
        </row>
        <row r="66">
          <cell r="C66" t="str">
            <v>EBIT normalized</v>
          </cell>
          <cell r="E66" t="str">
            <v>EBIT normalisiert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22">
          <cell r="C122" t="str">
            <v>Cost of sales</v>
          </cell>
          <cell r="E122" t="str">
            <v>Herstellungskosten der zur Umsatzerzielung erbr. Leistungen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C123" t="str">
            <v>Gross profit</v>
          </cell>
          <cell r="E123" t="str">
            <v>Bruttoergebnis vom Umsatz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C124" t="str">
            <v>Marketing &amp; sales costs</v>
          </cell>
          <cell r="E124" t="str">
            <v>Vertriebskosten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C125" t="str">
            <v>Research &amp; development expenses</v>
          </cell>
          <cell r="E125" t="str">
            <v>Forschungs- und Entwicklungskosten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C126" t="str">
            <v>General &amp; administration costs</v>
          </cell>
          <cell r="E126" t="str">
            <v>Allgemeine Verwaltungskosten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C127" t="str">
            <v>Change in finished goods, inventories and work in process</v>
          </cell>
          <cell r="E127" t="str">
            <v>Bestandsveränderung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C128" t="str">
            <v>Production for own plant and equipment</v>
          </cell>
          <cell r="E128" t="str">
            <v>Aktivierte Eigenleistung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C129" t="str">
            <v>Total production</v>
          </cell>
          <cell r="E129" t="str">
            <v>Gesamtleistung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D130" t="str">
            <v xml:space="preserve">Cost of raw materials, supplies and merchandise </v>
          </cell>
          <cell r="F130" t="str">
            <v>Roh-, Hilfs-und Betriebsstoffe und bezogene Waren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D131" t="str">
            <v>Cost of purchased services</v>
          </cell>
          <cell r="F131" t="str">
            <v>Bezogene Leistungen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C132" t="str">
            <v>Cost of materials and services</v>
          </cell>
          <cell r="E132" t="str">
            <v>Materialaufwand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C133" t="str">
            <v>Raw margin</v>
          </cell>
          <cell r="E133" t="str">
            <v>Rohmarge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D134" t="str">
            <v>Wages and salaries</v>
          </cell>
          <cell r="F134" t="str">
            <v>Löhne und Gehälter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D135" t="str">
            <v>Social security, pension and other benefits</v>
          </cell>
          <cell r="F135" t="str">
            <v>Soziale Abgaben und Altersversorgung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C136" t="str">
            <v>Personnel costs</v>
          </cell>
          <cell r="E136" t="str">
            <v>Personalaufwand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"/>
      <sheetName val="  "/>
      <sheetName val="Log"/>
      <sheetName val="Exec"/>
      <sheetName val="AFS"/>
      <sheetName val="QFS"/>
      <sheetName val="Checks"/>
      <sheetName val="Scen"/>
      <sheetName val="Ass"/>
      <sheetName val="Oper"/>
      <sheetName val="Fin"/>
      <sheetName val="Dep"/>
      <sheetName val="Ratio"/>
      <sheetName val="Tax"/>
      <sheetName val="Flags"/>
      <sheetName val="Comments"/>
      <sheetName val="L"/>
      <sheetName val="Equistone &gt;&gt;&gt;"/>
      <sheetName val="Fin Model"/>
      <sheetName val="S&amp;U"/>
      <sheetName val="Fin Model (alt)"/>
      <sheetName val="Cov Model (alt)"/>
      <sheetName val="S&amp;U (al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Summary"/>
      <sheetName val="Sample Design"/>
      <sheetName val="Detailed Tests"/>
      <sheetName val="Tickmarks"/>
    </sheetNames>
    <sheetDataSet>
      <sheetData sheetId="0"/>
      <sheetData sheetId="1"/>
      <sheetData sheetId="2" refreshError="1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 2"/>
      <sheetName val="Annex 3a"/>
      <sheetName val="Annex (3b)"/>
      <sheetName val="Annex 3b"/>
      <sheetName val="Annex 5a Perf WSP"/>
      <sheetName val="Annex 4 Debt WSP-WSB"/>
      <sheetName val="Annex 5b Perfc WSB"/>
      <sheetName val="Annex 6 Calc of A T"/>
      <sheetName val="Annex 8 Tariff Sched"/>
      <sheetName val="Annex 9 General Performance"/>
      <sheetName val="Annex 7-Prop Tariff Str "/>
      <sheetName val="Annex 8 Tariff Schdl"/>
      <sheetName val="Annex 9 General Perf Assm't"/>
      <sheetName val="Annex 8 Headings"/>
      <sheetName val="Annex 10; Checklist"/>
      <sheetName val="Appendix 6 Prop Tariff Str "/>
      <sheetName val="Dat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zoomScaleNormal="10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J34" sqref="J34"/>
    </sheetView>
  </sheetViews>
  <sheetFormatPr defaultRowHeight="15"/>
  <cols>
    <col min="1" max="1" width="20.28515625" style="456" customWidth="1"/>
    <col min="2" max="2" width="16.5703125" style="456" customWidth="1"/>
    <col min="3" max="3" width="20" style="456" customWidth="1"/>
    <col min="4" max="4" width="14.5703125" style="456" customWidth="1"/>
    <col min="5" max="5" width="13.42578125" style="456" customWidth="1"/>
    <col min="6" max="6" width="13.5703125" style="456" customWidth="1"/>
    <col min="7" max="7" width="14" style="456" customWidth="1"/>
    <col min="8" max="8" width="13.140625" style="456" customWidth="1"/>
    <col min="9" max="16384" width="9.140625" style="456"/>
  </cols>
  <sheetData>
    <row r="1" spans="1:9">
      <c r="A1" s="454" t="s">
        <v>568</v>
      </c>
      <c r="B1" s="455"/>
      <c r="C1" s="454" t="s">
        <v>593</v>
      </c>
    </row>
    <row r="2" spans="1:9" ht="26.25">
      <c r="A2" s="457"/>
      <c r="B2" s="458" t="s">
        <v>0</v>
      </c>
      <c r="C2" s="457"/>
      <c r="D2" s="458" t="s">
        <v>0</v>
      </c>
      <c r="E2" s="458" t="s">
        <v>0</v>
      </c>
      <c r="F2" s="458" t="s">
        <v>0</v>
      </c>
      <c r="G2" s="458" t="s">
        <v>0</v>
      </c>
      <c r="H2" s="458" t="s">
        <v>0</v>
      </c>
    </row>
    <row r="3" spans="1:9">
      <c r="A3" s="457"/>
      <c r="B3" s="459" t="s">
        <v>1</v>
      </c>
      <c r="C3" s="457"/>
      <c r="D3" s="459" t="s">
        <v>1</v>
      </c>
      <c r="E3" s="459" t="s">
        <v>1</v>
      </c>
      <c r="F3" s="459" t="s">
        <v>1</v>
      </c>
      <c r="G3" s="459" t="s">
        <v>1</v>
      </c>
      <c r="H3" s="459" t="s">
        <v>1</v>
      </c>
    </row>
    <row r="4" spans="1:9">
      <c r="A4" s="457"/>
      <c r="B4" s="460" t="s">
        <v>2</v>
      </c>
      <c r="C4" s="457"/>
      <c r="D4" s="460" t="s">
        <v>2</v>
      </c>
      <c r="E4" s="460" t="s">
        <v>2</v>
      </c>
      <c r="F4" s="460" t="s">
        <v>2</v>
      </c>
      <c r="G4" s="460" t="s">
        <v>2</v>
      </c>
      <c r="H4" s="460" t="s">
        <v>2</v>
      </c>
    </row>
    <row r="5" spans="1:9">
      <c r="A5" s="461" t="s">
        <v>3</v>
      </c>
      <c r="B5" s="459" t="s">
        <v>4</v>
      </c>
      <c r="C5" s="461" t="s">
        <v>3</v>
      </c>
      <c r="D5" s="459" t="s">
        <v>5</v>
      </c>
      <c r="E5" s="459" t="s">
        <v>6</v>
      </c>
      <c r="F5" s="459" t="s">
        <v>7</v>
      </c>
      <c r="G5" s="459" t="s">
        <v>8</v>
      </c>
      <c r="H5" s="459" t="s">
        <v>9</v>
      </c>
    </row>
    <row r="6" spans="1:9">
      <c r="A6" s="457"/>
      <c r="B6" s="462"/>
      <c r="C6" s="457"/>
      <c r="D6" s="462"/>
      <c r="E6" s="462"/>
      <c r="F6" s="462"/>
      <c r="G6" s="462"/>
      <c r="H6" s="462"/>
    </row>
    <row r="7" spans="1:9">
      <c r="A7" s="461" t="s">
        <v>10</v>
      </c>
      <c r="B7" s="463"/>
      <c r="C7" s="461" t="s">
        <v>10</v>
      </c>
      <c r="D7" s="463"/>
      <c r="E7" s="463"/>
      <c r="F7" s="463"/>
      <c r="G7" s="463"/>
      <c r="H7" s="463"/>
    </row>
    <row r="8" spans="1:9">
      <c r="A8" s="464" t="s">
        <v>11</v>
      </c>
      <c r="B8" s="465"/>
      <c r="C8" s="464" t="s">
        <v>11</v>
      </c>
      <c r="D8" s="465"/>
      <c r="E8" s="465"/>
      <c r="F8" s="465"/>
      <c r="G8" s="465"/>
      <c r="H8" s="465"/>
    </row>
    <row r="9" spans="1:9">
      <c r="A9" s="466" t="str">
        <f>'Annex 8'!A16</f>
        <v xml:space="preserve">0-6m3 </v>
      </c>
      <c r="B9" s="467">
        <f>'Annex 8'!B16</f>
        <v>45</v>
      </c>
      <c r="C9" s="466" t="str">
        <f>'Annex 8'!E16</f>
        <v xml:space="preserve">1-6m3 </v>
      </c>
      <c r="D9" s="468">
        <f>'Annex 8'!F16</f>
        <v>80</v>
      </c>
      <c r="E9" s="469">
        <f>'Annex 8'!I16</f>
        <v>80</v>
      </c>
      <c r="F9" s="469">
        <f>'Annex 8'!L16</f>
        <v>80</v>
      </c>
      <c r="G9" s="469">
        <f>'Annex 8'!O16</f>
        <v>80</v>
      </c>
      <c r="H9" s="469">
        <f>'Annex 8'!R16</f>
        <v>80</v>
      </c>
      <c r="I9" s="470"/>
    </row>
    <row r="10" spans="1:9">
      <c r="A10" s="466" t="str">
        <f>'Annex 8'!A17</f>
        <v xml:space="preserve">7-20m3 </v>
      </c>
      <c r="B10" s="467">
        <f>'Annex 8'!B17</f>
        <v>67.5</v>
      </c>
      <c r="C10" s="466" t="str">
        <f>'Annex 8'!E17</f>
        <v xml:space="preserve">7-20m3 </v>
      </c>
      <c r="D10" s="468">
        <f>'Annex 8'!F17</f>
        <v>110</v>
      </c>
      <c r="E10" s="469">
        <f>'Annex 8'!I17</f>
        <v>110</v>
      </c>
      <c r="F10" s="469">
        <f>'Annex 8'!L17</f>
        <v>110</v>
      </c>
      <c r="G10" s="469">
        <f>'Annex 8'!O17</f>
        <v>110</v>
      </c>
      <c r="H10" s="469">
        <f>'Annex 8'!R17</f>
        <v>110</v>
      </c>
      <c r="I10" s="470"/>
    </row>
    <row r="11" spans="1:9">
      <c r="A11" s="466" t="str">
        <f>'Annex 8'!A18</f>
        <v xml:space="preserve">21-50m3 </v>
      </c>
      <c r="B11" s="467">
        <f>'Annex 8'!B18</f>
        <v>87.75</v>
      </c>
      <c r="C11" s="466" t="str">
        <f>'Annex 8'!E18</f>
        <v xml:space="preserve">21-50m3 </v>
      </c>
      <c r="D11" s="468">
        <f>'Annex 8'!F18</f>
        <v>130</v>
      </c>
      <c r="E11" s="469">
        <f>'Annex 8'!I18</f>
        <v>130</v>
      </c>
      <c r="F11" s="469">
        <f>'Annex 8'!L18</f>
        <v>130</v>
      </c>
      <c r="G11" s="469">
        <f>'Annex 8'!O18</f>
        <v>130</v>
      </c>
      <c r="H11" s="469">
        <f>'Annex 8'!R18</f>
        <v>130</v>
      </c>
      <c r="I11" s="470"/>
    </row>
    <row r="12" spans="1:9">
      <c r="A12" s="466" t="str">
        <f>'Annex 8'!A19</f>
        <v xml:space="preserve">51-100m3 </v>
      </c>
      <c r="B12" s="467">
        <f>'Annex 8'!B19</f>
        <v>108</v>
      </c>
      <c r="C12" s="466" t="str">
        <f>'Annex 8'!E19</f>
        <v xml:space="preserve">51-100m3 </v>
      </c>
      <c r="D12" s="468">
        <f>'Annex 8'!F19</f>
        <v>145</v>
      </c>
      <c r="E12" s="469">
        <f>'Annex 8'!I19</f>
        <v>145</v>
      </c>
      <c r="F12" s="469">
        <f>'Annex 8'!L19</f>
        <v>145</v>
      </c>
      <c r="G12" s="469">
        <f>'Annex 8'!O19</f>
        <v>145</v>
      </c>
      <c r="H12" s="469">
        <f>'Annex 8'!R19</f>
        <v>145</v>
      </c>
      <c r="I12" s="470"/>
    </row>
    <row r="13" spans="1:9">
      <c r="A13" s="466" t="str">
        <f>'Annex 8'!A20</f>
        <v xml:space="preserve">101-300m3 </v>
      </c>
      <c r="B13" s="467">
        <f>'Annex 8'!B20</f>
        <v>135</v>
      </c>
      <c r="C13" s="466" t="str">
        <f>'Annex 8'!E20</f>
        <v xml:space="preserve">101-300m3 </v>
      </c>
      <c r="D13" s="468">
        <f>'Annex 8'!F20</f>
        <v>160</v>
      </c>
      <c r="E13" s="469">
        <f>'Annex 8'!I20</f>
        <v>160</v>
      </c>
      <c r="F13" s="469">
        <f>'Annex 8'!L20</f>
        <v>160</v>
      </c>
      <c r="G13" s="469">
        <f>'Annex 8'!O20</f>
        <v>160</v>
      </c>
      <c r="H13" s="469">
        <f>'Annex 8'!R20</f>
        <v>160</v>
      </c>
      <c r="I13" s="470"/>
    </row>
    <row r="14" spans="1:9">
      <c r="A14" s="466" t="str">
        <f>'Annex 8'!A21</f>
        <v>&gt;300m3</v>
      </c>
      <c r="B14" s="467">
        <f>'Annex 8'!B21</f>
        <v>175</v>
      </c>
      <c r="C14" s="466" t="str">
        <f>'Annex 8'!E21</f>
        <v>&gt;300m3</v>
      </c>
      <c r="D14" s="468">
        <f>'Annex 8'!F21</f>
        <v>200</v>
      </c>
      <c r="E14" s="469">
        <f>'Annex 8'!I21</f>
        <v>200</v>
      </c>
      <c r="F14" s="469">
        <f>'Annex 8'!L21</f>
        <v>200</v>
      </c>
      <c r="G14" s="469">
        <f>'Annex 8'!O21</f>
        <v>200</v>
      </c>
      <c r="H14" s="469">
        <f>'Annex 8'!R21</f>
        <v>200</v>
      </c>
      <c r="I14" s="470"/>
    </row>
    <row r="15" spans="1:9">
      <c r="A15" s="461" t="s">
        <v>403</v>
      </c>
      <c r="B15" s="473"/>
      <c r="C15" s="461" t="str">
        <f>A15</f>
        <v>Industrial/Commercial</v>
      </c>
      <c r="D15" s="474"/>
      <c r="E15" s="474"/>
      <c r="F15" s="474"/>
      <c r="G15" s="474"/>
      <c r="H15" s="474"/>
    </row>
    <row r="16" spans="1:9">
      <c r="A16" s="464" t="s">
        <v>11</v>
      </c>
      <c r="B16" s="473"/>
      <c r="C16" s="464" t="s">
        <v>11</v>
      </c>
      <c r="D16" s="474"/>
      <c r="E16" s="474"/>
      <c r="F16" s="474"/>
      <c r="G16" s="474"/>
      <c r="H16" s="474"/>
    </row>
    <row r="17" spans="1:9">
      <c r="A17" s="466" t="str">
        <f>'Annex 8'!A24</f>
        <v xml:space="preserve">0-6m3 </v>
      </c>
      <c r="B17" s="467">
        <f>'Annex 8'!B24</f>
        <v>45</v>
      </c>
      <c r="C17" s="466" t="str">
        <f>'Annex 8'!E24</f>
        <v xml:space="preserve">1-50m3 </v>
      </c>
      <c r="D17" s="474">
        <f>'Annex 8'!F24</f>
        <v>120</v>
      </c>
      <c r="E17" s="474">
        <f>'Annex 8'!I24</f>
        <v>120</v>
      </c>
      <c r="F17" s="474">
        <f>'Annex 8'!L24</f>
        <v>120</v>
      </c>
      <c r="G17" s="474">
        <f>'Annex 8'!O24</f>
        <v>120</v>
      </c>
      <c r="H17" s="474">
        <f>'Annex 8'!R24</f>
        <v>120</v>
      </c>
      <c r="I17" s="470"/>
    </row>
    <row r="18" spans="1:9">
      <c r="A18" s="466" t="str">
        <f>'Annex 8'!A25</f>
        <v xml:space="preserve">7-20m3 </v>
      </c>
      <c r="B18" s="467">
        <f>'Annex 8'!B25</f>
        <v>67.5</v>
      </c>
      <c r="C18" s="466" t="str">
        <f>'Annex 8'!E25</f>
        <v xml:space="preserve">51-100m3 </v>
      </c>
      <c r="D18" s="474">
        <f>'Annex 8'!F25</f>
        <v>145</v>
      </c>
      <c r="E18" s="474">
        <f>'Annex 8'!I25</f>
        <v>145</v>
      </c>
      <c r="F18" s="474">
        <f>'Annex 8'!L25</f>
        <v>145</v>
      </c>
      <c r="G18" s="474">
        <f>'Annex 8'!O25</f>
        <v>145</v>
      </c>
      <c r="H18" s="474">
        <f>'Annex 8'!R25</f>
        <v>145</v>
      </c>
      <c r="I18" s="470"/>
    </row>
    <row r="19" spans="1:9">
      <c r="A19" s="466" t="str">
        <f>'Annex 8'!A26</f>
        <v xml:space="preserve">21-50m3 </v>
      </c>
      <c r="B19" s="467">
        <f>'Annex 8'!B26</f>
        <v>87.75</v>
      </c>
      <c r="C19" s="466" t="str">
        <f>'Annex 8'!E26</f>
        <v xml:space="preserve">101-300m3 </v>
      </c>
      <c r="D19" s="474">
        <f>'Annex 8'!F26</f>
        <v>165</v>
      </c>
      <c r="E19" s="474">
        <f>'Annex 8'!I26</f>
        <v>165</v>
      </c>
      <c r="F19" s="474">
        <f>'Annex 8'!L26</f>
        <v>165</v>
      </c>
      <c r="G19" s="474">
        <f>'Annex 8'!O26</f>
        <v>165</v>
      </c>
      <c r="H19" s="474">
        <f>'Annex 8'!R26</f>
        <v>165</v>
      </c>
      <c r="I19" s="470"/>
    </row>
    <row r="20" spans="1:9">
      <c r="A20" s="466" t="str">
        <f>'Annex 8'!A27</f>
        <v xml:space="preserve">51-100m3 </v>
      </c>
      <c r="B20" s="467">
        <f>'Annex 8'!B27</f>
        <v>108</v>
      </c>
      <c r="C20" s="466" t="str">
        <f>'Annex 8'!E27</f>
        <v>&gt;300m3</v>
      </c>
      <c r="D20" s="474">
        <f>'Annex 8'!F27</f>
        <v>210</v>
      </c>
      <c r="E20" s="474">
        <f>'Annex 8'!I27</f>
        <v>210</v>
      </c>
      <c r="F20" s="474">
        <f>'Annex 8'!L27</f>
        <v>210</v>
      </c>
      <c r="G20" s="474">
        <f>'Annex 8'!O27</f>
        <v>210</v>
      </c>
      <c r="H20" s="474">
        <f>'Annex 8'!R27</f>
        <v>210</v>
      </c>
      <c r="I20" s="470"/>
    </row>
    <row r="21" spans="1:9">
      <c r="A21" s="466" t="str">
        <f>'Annex 8'!A28</f>
        <v xml:space="preserve">101-300m3 </v>
      </c>
      <c r="B21" s="467">
        <f>'Annex 8'!B28</f>
        <v>135</v>
      </c>
      <c r="C21" s="471"/>
      <c r="D21" s="474"/>
      <c r="E21" s="474"/>
      <c r="F21" s="474"/>
      <c r="G21" s="474"/>
      <c r="H21" s="474"/>
    </row>
    <row r="22" spans="1:9">
      <c r="A22" s="466" t="str">
        <f>'Annex 8'!A29</f>
        <v>&gt;300m3</v>
      </c>
      <c r="B22" s="467">
        <f>'Annex 8'!B29</f>
        <v>175</v>
      </c>
      <c r="C22" s="472"/>
      <c r="D22" s="474"/>
      <c r="E22" s="474"/>
      <c r="F22" s="474"/>
      <c r="G22" s="474"/>
      <c r="H22" s="474"/>
    </row>
    <row r="23" spans="1:9">
      <c r="A23" s="461" t="s">
        <v>404</v>
      </c>
      <c r="B23" s="473"/>
      <c r="C23" s="461" t="str">
        <f>A23</f>
        <v>Government institution</v>
      </c>
      <c r="D23" s="474"/>
      <c r="E23" s="474"/>
      <c r="F23" s="474"/>
      <c r="G23" s="474"/>
      <c r="H23" s="474"/>
    </row>
    <row r="24" spans="1:9">
      <c r="A24" s="464" t="s">
        <v>11</v>
      </c>
      <c r="B24" s="473"/>
      <c r="C24" s="464" t="s">
        <v>11</v>
      </c>
      <c r="D24" s="474"/>
      <c r="E24" s="474"/>
      <c r="F24" s="474"/>
      <c r="G24" s="474"/>
      <c r="H24" s="474"/>
    </row>
    <row r="25" spans="1:9">
      <c r="A25" s="466" t="str">
        <f>'Annex 8'!A33</f>
        <v xml:space="preserve">0-6m3 </v>
      </c>
      <c r="B25" s="467">
        <f>'Annex 8'!B33</f>
        <v>45</v>
      </c>
      <c r="C25" s="466" t="str">
        <f>'Annex 8'!E33</f>
        <v xml:space="preserve">1-50m3 </v>
      </c>
      <c r="D25" s="474">
        <f>'Annex 8'!F33</f>
        <v>120</v>
      </c>
      <c r="E25" s="474">
        <f>'Annex 8'!I33</f>
        <v>120</v>
      </c>
      <c r="F25" s="474">
        <f>'Annex 8'!L33</f>
        <v>120</v>
      </c>
      <c r="G25" s="474">
        <f>'Annex 8'!O33</f>
        <v>120</v>
      </c>
      <c r="H25" s="474">
        <f>'Annex 8'!R33</f>
        <v>120</v>
      </c>
    </row>
    <row r="26" spans="1:9">
      <c r="A26" s="466" t="str">
        <f>'Annex 8'!A34</f>
        <v xml:space="preserve">7-20m3 </v>
      </c>
      <c r="B26" s="467">
        <f>'Annex 8'!B34</f>
        <v>67.5</v>
      </c>
      <c r="C26" s="466" t="str">
        <f>'Annex 8'!E34</f>
        <v xml:space="preserve">51-100m3 </v>
      </c>
      <c r="D26" s="474">
        <f>'Annex 8'!F34</f>
        <v>145</v>
      </c>
      <c r="E26" s="474">
        <f>'Annex 8'!I34</f>
        <v>145</v>
      </c>
      <c r="F26" s="474">
        <f>'Annex 8'!L34</f>
        <v>145</v>
      </c>
      <c r="G26" s="474">
        <f>'Annex 8'!O34</f>
        <v>145</v>
      </c>
      <c r="H26" s="474">
        <f>'Annex 8'!R34</f>
        <v>145</v>
      </c>
    </row>
    <row r="27" spans="1:9">
      <c r="A27" s="466" t="str">
        <f>'Annex 8'!A35</f>
        <v xml:space="preserve">21-50m3 </v>
      </c>
      <c r="B27" s="467">
        <f>'Annex 8'!B35</f>
        <v>87.75</v>
      </c>
      <c r="C27" s="466" t="str">
        <f>'Annex 8'!E35</f>
        <v xml:space="preserve">101-300m3 </v>
      </c>
      <c r="D27" s="474">
        <f>'Annex 8'!F35</f>
        <v>165</v>
      </c>
      <c r="E27" s="474">
        <f>'Annex 8'!I35</f>
        <v>165</v>
      </c>
      <c r="F27" s="474">
        <f>'Annex 8'!L35</f>
        <v>165</v>
      </c>
      <c r="G27" s="474">
        <f>'Annex 8'!O35</f>
        <v>165</v>
      </c>
      <c r="H27" s="474">
        <f>'Annex 8'!R35</f>
        <v>165</v>
      </c>
    </row>
    <row r="28" spans="1:9">
      <c r="A28" s="466" t="str">
        <f>'Annex 8'!A36</f>
        <v xml:space="preserve">51-100m3 </v>
      </c>
      <c r="B28" s="467">
        <f>'Annex 8'!B36</f>
        <v>108</v>
      </c>
      <c r="C28" s="466" t="str">
        <f>'Annex 8'!E36</f>
        <v>&gt;300m3</v>
      </c>
      <c r="D28" s="474">
        <f>'Annex 8'!F36</f>
        <v>210</v>
      </c>
      <c r="E28" s="474">
        <f>'Annex 8'!I36</f>
        <v>210</v>
      </c>
      <c r="F28" s="474">
        <f>'Annex 8'!L36</f>
        <v>210</v>
      </c>
      <c r="G28" s="474">
        <f>'Annex 8'!O36</f>
        <v>210</v>
      </c>
      <c r="H28" s="474">
        <f>'Annex 8'!R36</f>
        <v>210</v>
      </c>
    </row>
    <row r="29" spans="1:9">
      <c r="A29" s="466" t="str">
        <f>'Annex 8'!A37</f>
        <v xml:space="preserve">101-300m3 </v>
      </c>
      <c r="B29" s="467">
        <f>'Annex 8'!B37</f>
        <v>135</v>
      </c>
      <c r="C29" s="466"/>
      <c r="D29" s="473"/>
      <c r="E29" s="473"/>
      <c r="F29" s="473"/>
      <c r="G29" s="473"/>
      <c r="H29" s="474"/>
    </row>
    <row r="30" spans="1:9">
      <c r="A30" s="466" t="str">
        <f>'Annex 8'!A38</f>
        <v>&gt;300m3</v>
      </c>
      <c r="B30" s="467">
        <f>'Annex 8'!B38</f>
        <v>175</v>
      </c>
      <c r="C30" s="466"/>
      <c r="D30" s="473"/>
      <c r="E30" s="473"/>
      <c r="F30" s="473"/>
      <c r="G30" s="473"/>
      <c r="H30" s="474"/>
    </row>
    <row r="31" spans="1:9">
      <c r="A31" s="464" t="s">
        <v>20</v>
      </c>
      <c r="B31" s="473"/>
      <c r="C31" s="464" t="str">
        <f>A31</f>
        <v>Schools</v>
      </c>
      <c r="D31" s="474"/>
      <c r="E31" s="474"/>
      <c r="F31" s="474"/>
      <c r="G31" s="474"/>
      <c r="H31" s="474"/>
    </row>
    <row r="32" spans="1:9">
      <c r="A32" s="464" t="s">
        <v>11</v>
      </c>
      <c r="B32" s="473"/>
      <c r="C32" s="464" t="s">
        <v>11</v>
      </c>
      <c r="D32" s="474"/>
      <c r="E32" s="474"/>
      <c r="F32" s="474"/>
      <c r="G32" s="474"/>
      <c r="H32" s="474"/>
    </row>
    <row r="33" spans="1:8">
      <c r="A33" s="475" t="s">
        <v>13</v>
      </c>
      <c r="B33" s="473">
        <f>'Annex 8'!B41</f>
        <v>48</v>
      </c>
      <c r="C33" s="1472" t="str">
        <f>'Annex 8'!E41</f>
        <v xml:space="preserve">1-600m3 </v>
      </c>
      <c r="D33" s="474">
        <f>'Annex 8'!F41</f>
        <v>90</v>
      </c>
      <c r="E33" s="474">
        <f>'Annex 8'!I41</f>
        <v>100</v>
      </c>
      <c r="F33" s="474">
        <f>'Annex 8'!L41</f>
        <v>100</v>
      </c>
      <c r="G33" s="474">
        <f>'Annex 8'!O41</f>
        <v>100</v>
      </c>
      <c r="H33" s="474">
        <f>'Annex 8'!R41</f>
        <v>100</v>
      </c>
    </row>
    <row r="34" spans="1:8">
      <c r="A34" s="475" t="s">
        <v>14</v>
      </c>
      <c r="B34" s="473">
        <f>'Annex 8'!B42</f>
        <v>55</v>
      </c>
      <c r="C34" s="1472" t="str">
        <f>'Annex 8'!E42</f>
        <v>601-1200m3</v>
      </c>
      <c r="D34" s="474">
        <f>'Annex 8'!F42</f>
        <v>125</v>
      </c>
      <c r="E34" s="474">
        <f>'Annex 8'!I42</f>
        <v>125</v>
      </c>
      <c r="F34" s="474">
        <f>'Annex 8'!L42</f>
        <v>125</v>
      </c>
      <c r="G34" s="474">
        <f>'Annex 8'!O42</f>
        <v>125</v>
      </c>
      <c r="H34" s="474">
        <f>'Annex 8'!R42</f>
        <v>125</v>
      </c>
    </row>
    <row r="35" spans="1:8">
      <c r="A35" s="476" t="s">
        <v>15</v>
      </c>
      <c r="B35" s="473">
        <f>'Annex 8'!B43</f>
        <v>60</v>
      </c>
      <c r="C35" s="1472" t="str">
        <f>'Annex 8'!E43</f>
        <v>&gt;1200m3</v>
      </c>
      <c r="D35" s="477">
        <f>'Annex 8'!F43</f>
        <v>170</v>
      </c>
      <c r="E35" s="474">
        <f>'Annex 8'!I43</f>
        <v>170</v>
      </c>
      <c r="F35" s="474">
        <f>'Annex 8'!L43</f>
        <v>170</v>
      </c>
      <c r="G35" s="474">
        <f>'Annex 8'!O43</f>
        <v>170</v>
      </c>
      <c r="H35" s="474">
        <f>'Annex 8'!R43</f>
        <v>170</v>
      </c>
    </row>
    <row r="36" spans="1:8">
      <c r="A36" s="466"/>
      <c r="B36" s="473"/>
      <c r="C36" s="466"/>
      <c r="D36" s="474"/>
      <c r="E36" s="474"/>
      <c r="F36" s="474"/>
      <c r="G36" s="474"/>
      <c r="H36" s="474"/>
    </row>
    <row r="37" spans="1:8">
      <c r="A37" s="464" t="s">
        <v>16</v>
      </c>
      <c r="B37" s="473">
        <f>'Annex 8'!B45</f>
        <v>35</v>
      </c>
      <c r="C37" s="464" t="s">
        <v>16</v>
      </c>
      <c r="D37" s="474">
        <f>'Annex 8'!F45</f>
        <v>35</v>
      </c>
      <c r="E37" s="474">
        <f>'Annex 8'!I45</f>
        <v>35</v>
      </c>
      <c r="F37" s="474">
        <f>'Annex 8'!L45</f>
        <v>35</v>
      </c>
      <c r="G37" s="474">
        <f>'Annex 8'!O45</f>
        <v>35</v>
      </c>
      <c r="H37" s="474">
        <f>'Annex 8'!R45</f>
        <v>35</v>
      </c>
    </row>
    <row r="38" spans="1:8">
      <c r="A38" s="478"/>
      <c r="B38" s="473"/>
      <c r="C38" s="478"/>
      <c r="D38" s="474"/>
      <c r="E38" s="474"/>
      <c r="F38" s="474"/>
      <c r="G38" s="474"/>
      <c r="H38" s="474"/>
    </row>
    <row r="39" spans="1:8">
      <c r="A39" s="476"/>
      <c r="B39" s="473"/>
      <c r="C39" s="476"/>
      <c r="D39" s="473"/>
      <c r="E39" s="473"/>
      <c r="F39" s="473"/>
      <c r="G39" s="473"/>
      <c r="H39" s="473"/>
    </row>
    <row r="40" spans="1:8">
      <c r="A40" s="461" t="s">
        <v>17</v>
      </c>
      <c r="B40" s="479">
        <f>'Annex 2'!G53</f>
        <v>251535346.29000002</v>
      </c>
      <c r="C40" s="461" t="s">
        <v>17</v>
      </c>
      <c r="D40" s="479">
        <f>'Annex 7'!E117</f>
        <v>453404680.22701097</v>
      </c>
      <c r="E40" s="479">
        <f>'Annex 7'!E118</f>
        <v>456164311.89389342</v>
      </c>
      <c r="F40" s="479">
        <f>'Annex 7'!E119</f>
        <v>463058837.48706394</v>
      </c>
      <c r="G40" s="479">
        <f>'Annex 7'!E120</f>
        <v>469960150.02476215</v>
      </c>
      <c r="H40" s="479">
        <f>'Annex 7'!E121</f>
        <v>476868385.24587852</v>
      </c>
    </row>
    <row r="41" spans="1:8">
      <c r="A41" s="461" t="s">
        <v>18</v>
      </c>
      <c r="B41" s="480">
        <f>'Annex 7'!D116</f>
        <v>48.540535624957563</v>
      </c>
      <c r="C41" s="461" t="s">
        <v>18</v>
      </c>
      <c r="D41" s="480">
        <f>'Annex 7'!D117</f>
        <v>67.994518905425508</v>
      </c>
      <c r="E41" s="480">
        <f>'Annex 7'!D118</f>
        <v>68.400964395317089</v>
      </c>
      <c r="F41" s="480">
        <f>'Annex 7'!D119</f>
        <v>68.411073668438718</v>
      </c>
      <c r="G41" s="480">
        <f>'Annex 7'!D120</f>
        <v>68.421675219207998</v>
      </c>
      <c r="H41" s="480">
        <f>'Annex 7'!D121</f>
        <v>68.432763431641177</v>
      </c>
    </row>
    <row r="42" spans="1:8">
      <c r="A42" s="461" t="s">
        <v>19</v>
      </c>
      <c r="B42" s="481">
        <f>'Annex 7'!I116</f>
        <v>75.209497825606633</v>
      </c>
      <c r="C42" s="461" t="s">
        <v>19</v>
      </c>
      <c r="D42" s="482">
        <f>'Annex 7'!I117</f>
        <v>103.38560433377441</v>
      </c>
      <c r="E42" s="482">
        <f>'Annex 7'!I118</f>
        <v>103.89875937805735</v>
      </c>
      <c r="F42" s="482">
        <f>'Annex 7'!I119</f>
        <v>103.95898123850944</v>
      </c>
      <c r="G42" s="482">
        <f>'Annex 7'!I120</f>
        <v>105.45348796847587</v>
      </c>
      <c r="H42" s="482">
        <f>'Annex 7'!I121</f>
        <v>102.19297027058687</v>
      </c>
    </row>
    <row r="44" spans="1:8">
      <c r="D44" s="483"/>
    </row>
    <row r="45" spans="1:8">
      <c r="D45" s="483"/>
    </row>
    <row r="46" spans="1:8">
      <c r="C46" s="470"/>
    </row>
    <row r="47" spans="1:8">
      <c r="C47" s="470"/>
    </row>
  </sheetData>
  <printOptions gridLines="1"/>
  <pageMargins left="0.23622047244094491" right="0.23622047244094491" top="0.15748031496062992" bottom="0.19685039370078741" header="0.31496062992125984" footer="0.31496062992125984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47"/>
  <sheetViews>
    <sheetView topLeftCell="D17" zoomScale="80" zoomScaleNormal="80" workbookViewId="0">
      <selection activeCell="P41" sqref="P41:P43"/>
    </sheetView>
  </sheetViews>
  <sheetFormatPr defaultColWidth="9.140625" defaultRowHeight="12.75"/>
  <cols>
    <col min="1" max="1" width="31" style="595" customWidth="1"/>
    <col min="2" max="2" width="16.140625" style="595" customWidth="1"/>
    <col min="3" max="3" width="19.140625" style="595" customWidth="1"/>
    <col min="4" max="4" width="16.140625" style="595" customWidth="1"/>
    <col min="5" max="5" width="30.42578125" style="595" customWidth="1"/>
    <col min="6" max="6" width="13.85546875" style="595" customWidth="1"/>
    <col min="7" max="7" width="19.85546875" style="595" customWidth="1"/>
    <col min="8" max="8" width="17.5703125" style="595" customWidth="1"/>
    <col min="9" max="9" width="16.42578125" style="595" customWidth="1"/>
    <col min="10" max="10" width="19.42578125" style="595" customWidth="1"/>
    <col min="11" max="11" width="20.42578125" style="595" customWidth="1"/>
    <col min="12" max="12" width="10.5703125" style="595" bestFit="1" customWidth="1"/>
    <col min="13" max="13" width="19.42578125" style="595" bestFit="1" customWidth="1"/>
    <col min="14" max="14" width="15.42578125" style="595" bestFit="1" customWidth="1"/>
    <col min="15" max="15" width="14.42578125" style="595" customWidth="1"/>
    <col min="16" max="16" width="19.42578125" style="595" bestFit="1" customWidth="1"/>
    <col min="17" max="17" width="12.42578125" style="595" customWidth="1"/>
    <col min="18" max="18" width="14.42578125" style="595" customWidth="1"/>
    <col min="19" max="16384" width="9.140625" style="595"/>
  </cols>
  <sheetData>
    <row r="1" spans="1:18" ht="13.35" hidden="1" customHeight="1">
      <c r="A1" s="1017"/>
    </row>
    <row r="2" spans="1:18" ht="12.75" hidden="1" customHeight="1" thickBot="1"/>
    <row r="3" spans="1:18" ht="11.25" hidden="1" customHeight="1" thickBot="1"/>
    <row r="4" spans="1:18" ht="11.25" hidden="1" customHeight="1" thickBot="1">
      <c r="A4" s="1018"/>
    </row>
    <row r="5" spans="1:18" ht="11.25" hidden="1" customHeight="1" thickBot="1">
      <c r="A5" s="1018"/>
    </row>
    <row r="6" spans="1:18" ht="11.25" hidden="1" customHeight="1" thickBot="1">
      <c r="A6" s="1018"/>
    </row>
    <row r="7" spans="1:18" ht="11.25" hidden="1" customHeight="1" thickBot="1">
      <c r="A7" s="1018"/>
    </row>
    <row r="8" spans="1:18" ht="20.25" customHeight="1" thickBot="1">
      <c r="A8" s="1019"/>
      <c r="B8" s="1949" t="s">
        <v>232</v>
      </c>
      <c r="C8" s="1949"/>
      <c r="D8" s="1949"/>
      <c r="E8" s="1020"/>
      <c r="F8" s="1950" t="s">
        <v>592</v>
      </c>
      <c r="G8" s="1951"/>
      <c r="H8" s="1951"/>
      <c r="I8" s="1951"/>
      <c r="J8" s="1951"/>
      <c r="K8" s="1951"/>
    </row>
    <row r="9" spans="1:18" ht="13.5" thickBot="1">
      <c r="A9" s="1021"/>
      <c r="B9" s="1947" t="s">
        <v>4</v>
      </c>
      <c r="C9" s="1947"/>
      <c r="D9" s="1947"/>
      <c r="E9" s="1022"/>
      <c r="F9" s="1947" t="s">
        <v>5</v>
      </c>
      <c r="G9" s="1947"/>
      <c r="H9" s="1948"/>
      <c r="I9" s="1946" t="s">
        <v>6</v>
      </c>
      <c r="J9" s="1947"/>
      <c r="K9" s="1948"/>
      <c r="L9" s="1946" t="s">
        <v>7</v>
      </c>
      <c r="M9" s="1947"/>
      <c r="N9" s="1948"/>
      <c r="O9" s="1946" t="s">
        <v>8</v>
      </c>
      <c r="P9" s="1947"/>
      <c r="Q9" s="1948"/>
      <c r="R9" s="1659" t="s">
        <v>9</v>
      </c>
    </row>
    <row r="10" spans="1:18">
      <c r="A10" s="1023"/>
      <c r="B10" s="1024" t="s">
        <v>233</v>
      </c>
      <c r="C10" s="1025" t="s">
        <v>234</v>
      </c>
      <c r="D10" s="1026" t="s">
        <v>235</v>
      </c>
      <c r="E10" s="1027"/>
      <c r="F10" s="1024" t="s">
        <v>233</v>
      </c>
      <c r="G10" s="1025" t="s">
        <v>234</v>
      </c>
      <c r="H10" s="1028" t="s">
        <v>235</v>
      </c>
      <c r="I10" s="1029" t="s">
        <v>233</v>
      </c>
      <c r="J10" s="1025" t="s">
        <v>234</v>
      </c>
      <c r="K10" s="1028" t="s">
        <v>235</v>
      </c>
      <c r="L10" s="1029" t="s">
        <v>233</v>
      </c>
      <c r="M10" s="1025" t="s">
        <v>234</v>
      </c>
      <c r="N10" s="1028" t="s">
        <v>235</v>
      </c>
      <c r="O10" s="1029" t="s">
        <v>233</v>
      </c>
      <c r="P10" s="1025" t="s">
        <v>234</v>
      </c>
      <c r="Q10" s="1028" t="s">
        <v>235</v>
      </c>
      <c r="R10" s="1029" t="s">
        <v>233</v>
      </c>
    </row>
    <row r="11" spans="1:18">
      <c r="A11" s="1023"/>
      <c r="B11" s="1030" t="s">
        <v>236</v>
      </c>
      <c r="C11" s="1031" t="s">
        <v>237</v>
      </c>
      <c r="D11" s="1032" t="s">
        <v>238</v>
      </c>
      <c r="E11" s="1033"/>
      <c r="F11" s="1030" t="s">
        <v>236</v>
      </c>
      <c r="G11" s="1031" t="s">
        <v>237</v>
      </c>
      <c r="H11" s="1034" t="s">
        <v>238</v>
      </c>
      <c r="I11" s="1035" t="s">
        <v>236</v>
      </c>
      <c r="J11" s="1031" t="s">
        <v>237</v>
      </c>
      <c r="K11" s="1034" t="s">
        <v>238</v>
      </c>
      <c r="L11" s="1035" t="s">
        <v>236</v>
      </c>
      <c r="M11" s="1031" t="s">
        <v>237</v>
      </c>
      <c r="N11" s="1034" t="s">
        <v>238</v>
      </c>
      <c r="O11" s="1035" t="s">
        <v>236</v>
      </c>
      <c r="P11" s="1031" t="s">
        <v>237</v>
      </c>
      <c r="Q11" s="1034" t="s">
        <v>238</v>
      </c>
      <c r="R11" s="1035" t="s">
        <v>236</v>
      </c>
    </row>
    <row r="12" spans="1:18" s="1043" customFormat="1" ht="15" customHeight="1" thickBot="1">
      <c r="A12" s="1036" t="s">
        <v>3</v>
      </c>
      <c r="B12" s="1037" t="s">
        <v>239</v>
      </c>
      <c r="C12" s="1038" t="s">
        <v>240</v>
      </c>
      <c r="D12" s="1039" t="s">
        <v>241</v>
      </c>
      <c r="E12" s="1040" t="s">
        <v>3</v>
      </c>
      <c r="F12" s="1037" t="s">
        <v>239</v>
      </c>
      <c r="G12" s="1038" t="s">
        <v>240</v>
      </c>
      <c r="H12" s="1041" t="s">
        <v>241</v>
      </c>
      <c r="I12" s="1042" t="s">
        <v>239</v>
      </c>
      <c r="J12" s="1038" t="s">
        <v>240</v>
      </c>
      <c r="K12" s="1041" t="s">
        <v>241</v>
      </c>
      <c r="L12" s="1042" t="s">
        <v>239</v>
      </c>
      <c r="M12" s="1038" t="s">
        <v>240</v>
      </c>
      <c r="N12" s="1041" t="s">
        <v>241</v>
      </c>
      <c r="O12" s="1042" t="s">
        <v>239</v>
      </c>
      <c r="P12" s="1038" t="s">
        <v>240</v>
      </c>
      <c r="Q12" s="1041" t="s">
        <v>241</v>
      </c>
      <c r="R12" s="1042" t="s">
        <v>239</v>
      </c>
    </row>
    <row r="13" spans="1:18" ht="15.75" customHeight="1">
      <c r="A13" s="1044"/>
      <c r="B13" s="1045"/>
      <c r="C13" s="1045"/>
      <c r="D13" s="1045"/>
      <c r="E13" s="1046"/>
      <c r="F13" s="1045"/>
      <c r="I13" s="1045"/>
      <c r="L13" s="1045"/>
      <c r="O13" s="1045"/>
      <c r="R13" s="1045"/>
    </row>
    <row r="14" spans="1:18">
      <c r="A14" s="1047" t="s">
        <v>10</v>
      </c>
      <c r="B14" s="1048"/>
      <c r="C14" s="1048"/>
      <c r="D14" s="1049"/>
      <c r="E14" s="1050" t="s">
        <v>10</v>
      </c>
      <c r="F14" s="1048"/>
      <c r="G14" s="1048"/>
      <c r="H14" s="1048"/>
      <c r="I14" s="1048"/>
      <c r="J14" s="1048"/>
      <c r="K14" s="1048"/>
      <c r="L14" s="1048"/>
      <c r="M14" s="1048"/>
      <c r="N14" s="1048"/>
      <c r="O14" s="1048"/>
      <c r="P14" s="1048"/>
      <c r="Q14" s="1048"/>
      <c r="R14" s="1048"/>
    </row>
    <row r="15" spans="1:18">
      <c r="A15" s="1047" t="s">
        <v>11</v>
      </c>
      <c r="B15" s="1051"/>
      <c r="C15" s="1051"/>
      <c r="D15" s="1052"/>
      <c r="E15" s="1053" t="s">
        <v>11</v>
      </c>
      <c r="F15" s="1051"/>
      <c r="G15" s="1051"/>
      <c r="H15" s="1051"/>
      <c r="I15" s="1051"/>
      <c r="J15" s="1051"/>
      <c r="K15" s="1051"/>
      <c r="L15" s="1051"/>
      <c r="M15" s="1051"/>
      <c r="N15" s="1051"/>
      <c r="O15" s="1051"/>
      <c r="P15" s="1051"/>
      <c r="Q15" s="1051"/>
      <c r="R15" s="1051"/>
    </row>
    <row r="16" spans="1:18">
      <c r="A16" s="1054" t="str">
        <f>'[15]Annex 7'!A14</f>
        <v xml:space="preserve">0-6m3 </v>
      </c>
      <c r="B16" s="1055">
        <f>'Annex 7'!AH14</f>
        <v>45</v>
      </c>
      <c r="C16" s="1056"/>
      <c r="D16" s="1052"/>
      <c r="E16" s="1057" t="str">
        <f>'[15]Annex 7'!AQ14</f>
        <v xml:space="preserve">1-6m3 </v>
      </c>
      <c r="F16" s="1055">
        <f>'Annex 7'!AS14</f>
        <v>80</v>
      </c>
      <c r="G16" s="1056"/>
      <c r="H16" s="1051"/>
      <c r="I16" s="1055">
        <f>'Annex 7'!BD14</f>
        <v>80</v>
      </c>
      <c r="J16" s="1056"/>
      <c r="K16" s="1051"/>
      <c r="L16" s="1055">
        <f>'Annex 7'!BO14</f>
        <v>80</v>
      </c>
      <c r="M16" s="1056"/>
      <c r="N16" s="1051"/>
      <c r="O16" s="1055">
        <f>'Annex 7'!BZ14</f>
        <v>80</v>
      </c>
      <c r="P16" s="1056"/>
      <c r="Q16" s="1051"/>
      <c r="R16" s="1055">
        <f>'Annex 7'!CK14</f>
        <v>80</v>
      </c>
    </row>
    <row r="17" spans="1:18">
      <c r="A17" s="1054" t="str">
        <f>'[15]Annex 7'!A15</f>
        <v xml:space="preserve">7-20m3 </v>
      </c>
      <c r="B17" s="1055">
        <f>'Annex 7'!AH15</f>
        <v>67.5</v>
      </c>
      <c r="C17" s="1056"/>
      <c r="D17" s="1052"/>
      <c r="E17" s="1057" t="str">
        <f>'[15]Annex 7'!AQ15</f>
        <v xml:space="preserve">7-20m3 </v>
      </c>
      <c r="F17" s="1055">
        <f>'Annex 7'!AS15</f>
        <v>110</v>
      </c>
      <c r="G17" s="1056"/>
      <c r="H17" s="1051"/>
      <c r="I17" s="1055">
        <f>'Annex 7'!BD15</f>
        <v>110</v>
      </c>
      <c r="J17" s="1056"/>
      <c r="K17" s="1051"/>
      <c r="L17" s="1055">
        <f>'Annex 7'!BO15</f>
        <v>110</v>
      </c>
      <c r="M17" s="1056"/>
      <c r="N17" s="1051"/>
      <c r="O17" s="1055">
        <f>'Annex 7'!BZ15</f>
        <v>110</v>
      </c>
      <c r="P17" s="1056"/>
      <c r="Q17" s="1051"/>
      <c r="R17" s="1055">
        <f>'Annex 7'!CK15</f>
        <v>110</v>
      </c>
    </row>
    <row r="18" spans="1:18">
      <c r="A18" s="1054" t="str">
        <f>'[15]Annex 7'!A16</f>
        <v xml:space="preserve">21-50m3 </v>
      </c>
      <c r="B18" s="1055">
        <f>'Annex 7'!AH16</f>
        <v>87.75</v>
      </c>
      <c r="C18" s="1056"/>
      <c r="D18" s="1052"/>
      <c r="E18" s="1057" t="str">
        <f>'[15]Annex 7'!AQ16</f>
        <v xml:space="preserve">21-50m3 </v>
      </c>
      <c r="F18" s="1055">
        <f>'Annex 7'!AS16</f>
        <v>130</v>
      </c>
      <c r="G18" s="1056"/>
      <c r="H18" s="1051"/>
      <c r="I18" s="1055">
        <f>'Annex 7'!BD16</f>
        <v>130</v>
      </c>
      <c r="J18" s="1056"/>
      <c r="K18" s="1051"/>
      <c r="L18" s="1055">
        <f>'Annex 7'!BO16</f>
        <v>130</v>
      </c>
      <c r="M18" s="1056"/>
      <c r="N18" s="1051"/>
      <c r="O18" s="1055">
        <f>'Annex 7'!BZ16</f>
        <v>130</v>
      </c>
      <c r="P18" s="1056"/>
      <c r="Q18" s="1051"/>
      <c r="R18" s="1055">
        <f>'Annex 7'!CK16</f>
        <v>130</v>
      </c>
    </row>
    <row r="19" spans="1:18">
      <c r="A19" s="1054" t="str">
        <f>'[15]Annex 7'!A17</f>
        <v xml:space="preserve">51-100m3 </v>
      </c>
      <c r="B19" s="1055">
        <f>'Annex 7'!AH17</f>
        <v>108</v>
      </c>
      <c r="C19" s="1942"/>
      <c r="D19" s="1058"/>
      <c r="E19" s="1057" t="str">
        <f>'[15]Annex 7'!AQ17</f>
        <v xml:space="preserve">51-100m3 </v>
      </c>
      <c r="F19" s="1055">
        <f>'Annex 7'!AS17</f>
        <v>145</v>
      </c>
      <c r="G19" s="1942"/>
      <c r="H19" s="1059"/>
      <c r="I19" s="1055">
        <f>'Annex 7'!BD17</f>
        <v>145</v>
      </c>
      <c r="J19" s="1942"/>
      <c r="K19" s="1059"/>
      <c r="L19" s="1055">
        <f>'Annex 7'!BO17</f>
        <v>145</v>
      </c>
      <c r="M19" s="1942"/>
      <c r="N19" s="1059"/>
      <c r="O19" s="1055">
        <f>'Annex 7'!BZ17</f>
        <v>145</v>
      </c>
      <c r="P19" s="1942"/>
      <c r="Q19" s="1059"/>
      <c r="R19" s="1055">
        <f>'Annex 7'!CK17</f>
        <v>145</v>
      </c>
    </row>
    <row r="20" spans="1:18">
      <c r="A20" s="1054" t="str">
        <f>'[15]Annex 7'!A18</f>
        <v xml:space="preserve">101-300m3 </v>
      </c>
      <c r="B20" s="1055">
        <f>'Annex 7'!AH18</f>
        <v>135</v>
      </c>
      <c r="C20" s="1943"/>
      <c r="D20" s="1058"/>
      <c r="E20" s="1057" t="str">
        <f>'[15]Annex 7'!AQ18</f>
        <v xml:space="preserve">101-300m3 </v>
      </c>
      <c r="F20" s="1055">
        <f>'Annex 7'!AS18</f>
        <v>160</v>
      </c>
      <c r="G20" s="1943"/>
      <c r="H20" s="1059"/>
      <c r="I20" s="1055">
        <f>'Annex 7'!BD18</f>
        <v>160</v>
      </c>
      <c r="J20" s="1943"/>
      <c r="K20" s="1059"/>
      <c r="L20" s="1055">
        <f>'Annex 7'!BO18</f>
        <v>160</v>
      </c>
      <c r="M20" s="1943"/>
      <c r="N20" s="1059"/>
      <c r="O20" s="1055">
        <f>'Annex 7'!BZ18</f>
        <v>160</v>
      </c>
      <c r="P20" s="1943"/>
      <c r="Q20" s="1059"/>
      <c r="R20" s="1055">
        <f>'Annex 7'!CK18</f>
        <v>160</v>
      </c>
    </row>
    <row r="21" spans="1:18">
      <c r="A21" s="1054" t="str">
        <f>'[15]Annex 7'!A19</f>
        <v>&gt;300m3</v>
      </c>
      <c r="B21" s="1055">
        <f>'Annex 7'!AH19</f>
        <v>175</v>
      </c>
      <c r="C21" s="1943"/>
      <c r="D21" s="1058"/>
      <c r="E21" s="1057" t="str">
        <f>'[15]Annex 7'!AQ19</f>
        <v>&gt;300m3</v>
      </c>
      <c r="F21" s="1055">
        <f>'Annex 7'!AS19</f>
        <v>200</v>
      </c>
      <c r="G21" s="1943"/>
      <c r="H21" s="1059"/>
      <c r="I21" s="1055">
        <f>'Annex 7'!BD19</f>
        <v>200</v>
      </c>
      <c r="J21" s="1943"/>
      <c r="K21" s="1059"/>
      <c r="L21" s="1055">
        <f>'Annex 7'!BO19</f>
        <v>200</v>
      </c>
      <c r="M21" s="1943"/>
      <c r="N21" s="1059"/>
      <c r="O21" s="1055">
        <f>'Annex 7'!BZ19</f>
        <v>200</v>
      </c>
      <c r="P21" s="1943"/>
      <c r="Q21" s="1059"/>
      <c r="R21" s="1055">
        <f>'Annex 7'!CK19</f>
        <v>200</v>
      </c>
    </row>
    <row r="22" spans="1:18">
      <c r="A22" s="1047" t="s">
        <v>403</v>
      </c>
      <c r="B22" s="1060"/>
      <c r="C22" s="1661"/>
      <c r="D22" s="1058"/>
      <c r="E22" s="1061" t="str">
        <f>A22</f>
        <v>Industrial/Commercial</v>
      </c>
      <c r="F22" s="1060"/>
      <c r="G22" s="1661"/>
      <c r="H22" s="1059"/>
      <c r="I22" s="1060"/>
      <c r="J22" s="1661"/>
      <c r="K22" s="1059"/>
      <c r="L22" s="1060"/>
      <c r="M22" s="1661"/>
      <c r="N22" s="1059"/>
      <c r="O22" s="1060"/>
      <c r="P22" s="1661"/>
      <c r="Q22" s="1059"/>
      <c r="R22" s="1060"/>
    </row>
    <row r="23" spans="1:18">
      <c r="A23" s="1047" t="s">
        <v>11</v>
      </c>
      <c r="B23" s="1060"/>
      <c r="C23" s="1661"/>
      <c r="D23" s="1058"/>
      <c r="E23" s="1061" t="str">
        <f>A23</f>
        <v>Consumption Block</v>
      </c>
      <c r="F23" s="1060"/>
      <c r="G23" s="1661"/>
      <c r="H23" s="1059"/>
      <c r="I23" s="1060"/>
      <c r="J23" s="1661"/>
      <c r="K23" s="1059"/>
      <c r="L23" s="1060"/>
      <c r="M23" s="1661"/>
      <c r="N23" s="1059"/>
      <c r="O23" s="1060"/>
      <c r="P23" s="1661"/>
      <c r="Q23" s="1059"/>
      <c r="R23" s="1060"/>
    </row>
    <row r="24" spans="1:18">
      <c r="A24" s="1054" t="str">
        <f t="shared" ref="A24:A29" si="0">A16</f>
        <v xml:space="preserve">0-6m3 </v>
      </c>
      <c r="B24" s="1060">
        <f>'Annex 7'!AH23</f>
        <v>45</v>
      </c>
      <c r="C24" s="1661"/>
      <c r="D24" s="1058"/>
      <c r="E24" s="1062" t="str">
        <f>'[15]Annex 7'!AQ23</f>
        <v xml:space="preserve">1-50m3 </v>
      </c>
      <c r="F24" s="1060">
        <f>'Annex 7'!AS23</f>
        <v>120</v>
      </c>
      <c r="G24" s="1661"/>
      <c r="H24" s="1059"/>
      <c r="I24" s="1060">
        <f>'Annex 7'!BD23</f>
        <v>120</v>
      </c>
      <c r="J24" s="1661"/>
      <c r="K24" s="1059"/>
      <c r="L24" s="1060">
        <f>'Annex 7'!BO23</f>
        <v>120</v>
      </c>
      <c r="M24" s="1661"/>
      <c r="N24" s="1059"/>
      <c r="O24" s="1060">
        <f>'Annex 7'!BZ23</f>
        <v>120</v>
      </c>
      <c r="P24" s="1661"/>
      <c r="Q24" s="1059"/>
      <c r="R24" s="1060">
        <f>'Annex 7'!CK23</f>
        <v>120</v>
      </c>
    </row>
    <row r="25" spans="1:18">
      <c r="A25" s="1054" t="str">
        <f t="shared" si="0"/>
        <v xml:space="preserve">7-20m3 </v>
      </c>
      <c r="B25" s="1060">
        <f>'Annex 7'!AH24</f>
        <v>67.5</v>
      </c>
      <c r="C25" s="1661"/>
      <c r="D25" s="1058"/>
      <c r="E25" s="1062" t="str">
        <f>'[15]Annex 7'!AQ24</f>
        <v xml:space="preserve">51-100m3 </v>
      </c>
      <c r="F25" s="1060">
        <f>'Annex 7'!AS24</f>
        <v>145</v>
      </c>
      <c r="G25" s="1661"/>
      <c r="H25" s="1059"/>
      <c r="I25" s="1060">
        <f>'Annex 7'!BD24</f>
        <v>145</v>
      </c>
      <c r="J25" s="1661"/>
      <c r="K25" s="1059"/>
      <c r="L25" s="1060">
        <f>'Annex 7'!BO24</f>
        <v>145</v>
      </c>
      <c r="M25" s="1661"/>
      <c r="N25" s="1059"/>
      <c r="O25" s="1060">
        <f>'Annex 7'!BZ24</f>
        <v>145</v>
      </c>
      <c r="P25" s="1661"/>
      <c r="Q25" s="1059"/>
      <c r="R25" s="1060">
        <f>'Annex 7'!CK24</f>
        <v>145</v>
      </c>
    </row>
    <row r="26" spans="1:18">
      <c r="A26" s="1054" t="str">
        <f t="shared" si="0"/>
        <v xml:space="preserve">21-50m3 </v>
      </c>
      <c r="B26" s="1060">
        <f>'Annex 7'!AH25</f>
        <v>87.75</v>
      </c>
      <c r="C26" s="1661"/>
      <c r="D26" s="1058"/>
      <c r="E26" s="1062" t="str">
        <f>'[15]Annex 7'!AQ25</f>
        <v xml:space="preserve">101-300m3 </v>
      </c>
      <c r="F26" s="1060">
        <f>'Annex 7'!AS25</f>
        <v>165</v>
      </c>
      <c r="G26" s="1661"/>
      <c r="H26" s="1059"/>
      <c r="I26" s="1060">
        <f>'Annex 7'!BD25</f>
        <v>165</v>
      </c>
      <c r="J26" s="1661"/>
      <c r="K26" s="1059"/>
      <c r="L26" s="1060">
        <f>'Annex 7'!BO25</f>
        <v>165</v>
      </c>
      <c r="M26" s="1661"/>
      <c r="N26" s="1059"/>
      <c r="O26" s="1060">
        <f>'Annex 7'!BZ25</f>
        <v>165</v>
      </c>
      <c r="P26" s="1661"/>
      <c r="Q26" s="1059"/>
      <c r="R26" s="1060">
        <f>'Annex 7'!CK25</f>
        <v>165</v>
      </c>
    </row>
    <row r="27" spans="1:18">
      <c r="A27" s="1054" t="str">
        <f t="shared" si="0"/>
        <v xml:space="preserve">51-100m3 </v>
      </c>
      <c r="B27" s="1060">
        <f>'Annex 7'!AH26</f>
        <v>108</v>
      </c>
      <c r="C27" s="1945"/>
      <c r="D27" s="1058"/>
      <c r="E27" s="1062" t="str">
        <f>'[15]Annex 7'!AQ26</f>
        <v>&gt;300m3</v>
      </c>
      <c r="F27" s="1060">
        <f>'Annex 7'!AS26</f>
        <v>210</v>
      </c>
      <c r="G27" s="1942"/>
      <c r="H27" s="1059"/>
      <c r="I27" s="1060">
        <f>'Annex 7'!BD26</f>
        <v>210</v>
      </c>
      <c r="J27" s="1942"/>
      <c r="K27" s="1059"/>
      <c r="L27" s="1060">
        <f>'Annex 7'!BO26</f>
        <v>210</v>
      </c>
      <c r="M27" s="1942"/>
      <c r="N27" s="1059"/>
      <c r="O27" s="1060">
        <f>'Annex 7'!BZ26</f>
        <v>210</v>
      </c>
      <c r="P27" s="1942"/>
      <c r="Q27" s="1059"/>
      <c r="R27" s="1060">
        <f>'Annex 7'!CK26</f>
        <v>210</v>
      </c>
    </row>
    <row r="28" spans="1:18">
      <c r="A28" s="1054" t="str">
        <f t="shared" si="0"/>
        <v xml:space="preserve">101-300m3 </v>
      </c>
      <c r="B28" s="1060">
        <f>'Annex 7'!AH27</f>
        <v>135</v>
      </c>
      <c r="C28" s="1945"/>
      <c r="D28" s="1058"/>
      <c r="E28" s="1061"/>
      <c r="F28" s="1060"/>
      <c r="G28" s="1943"/>
      <c r="H28" s="1059"/>
      <c r="I28" s="1060"/>
      <c r="J28" s="1943"/>
      <c r="K28" s="1059"/>
      <c r="L28" s="1060"/>
      <c r="M28" s="1943"/>
      <c r="N28" s="1059"/>
      <c r="O28" s="1060"/>
      <c r="P28" s="1943"/>
      <c r="Q28" s="1059"/>
      <c r="R28" s="1060"/>
    </row>
    <row r="29" spans="1:18">
      <c r="A29" s="1054" t="str">
        <f t="shared" si="0"/>
        <v>&gt;300m3</v>
      </c>
      <c r="B29" s="1060">
        <f>'Annex 7'!AH28</f>
        <v>175</v>
      </c>
      <c r="C29" s="1945"/>
      <c r="D29" s="1058"/>
      <c r="E29" s="1061"/>
      <c r="F29" s="1060"/>
      <c r="G29" s="1943"/>
      <c r="H29" s="1059"/>
      <c r="I29" s="1060"/>
      <c r="J29" s="1943"/>
      <c r="K29" s="1059"/>
      <c r="L29" s="1060"/>
      <c r="M29" s="1943"/>
      <c r="N29" s="1059"/>
      <c r="O29" s="1060"/>
      <c r="P29" s="1943"/>
      <c r="Q29" s="1059"/>
      <c r="R29" s="1060"/>
    </row>
    <row r="30" spans="1:18">
      <c r="A30" s="1054"/>
      <c r="B30" s="1060"/>
      <c r="C30" s="1661"/>
      <c r="D30" s="1058"/>
      <c r="E30" s="1062"/>
      <c r="F30" s="1060"/>
      <c r="G30" s="1661"/>
      <c r="H30" s="1059"/>
      <c r="I30" s="1060"/>
      <c r="J30" s="1661"/>
      <c r="K30" s="1059"/>
      <c r="L30" s="1060"/>
      <c r="M30" s="1661"/>
      <c r="N30" s="1059"/>
      <c r="O30" s="1060"/>
      <c r="P30" s="1661"/>
      <c r="Q30" s="1059"/>
      <c r="R30" s="1060"/>
    </row>
    <row r="31" spans="1:18">
      <c r="A31" s="1047" t="s">
        <v>362</v>
      </c>
      <c r="B31" s="1060"/>
      <c r="C31" s="1661"/>
      <c r="D31" s="1058"/>
      <c r="E31" s="1061" t="str">
        <f>A31</f>
        <v>Government Institutions</v>
      </c>
      <c r="F31" s="1060"/>
      <c r="G31" s="1661"/>
      <c r="H31" s="1059"/>
      <c r="I31" s="1060"/>
      <c r="J31" s="1661"/>
      <c r="K31" s="1059"/>
      <c r="L31" s="1060"/>
      <c r="M31" s="1661"/>
      <c r="N31" s="1059"/>
      <c r="O31" s="1060"/>
      <c r="P31" s="1661"/>
      <c r="Q31" s="1059"/>
      <c r="R31" s="1060"/>
    </row>
    <row r="32" spans="1:18">
      <c r="A32" s="1047" t="s">
        <v>11</v>
      </c>
      <c r="B32" s="1060"/>
      <c r="C32" s="1661"/>
      <c r="D32" s="1058"/>
      <c r="E32" s="1061" t="s">
        <v>11</v>
      </c>
      <c r="F32" s="1060"/>
      <c r="G32" s="1661"/>
      <c r="H32" s="1059"/>
      <c r="I32" s="1060"/>
      <c r="J32" s="1661"/>
      <c r="K32" s="1059"/>
      <c r="L32" s="1060"/>
      <c r="M32" s="1661"/>
      <c r="N32" s="1059"/>
      <c r="O32" s="1060"/>
      <c r="P32" s="1661"/>
      <c r="Q32" s="1059"/>
      <c r="R32" s="1060"/>
    </row>
    <row r="33" spans="1:18">
      <c r="A33" s="1054" t="str">
        <f t="shared" ref="A33:A38" si="1">A24</f>
        <v xml:space="preserve">0-6m3 </v>
      </c>
      <c r="B33" s="1060">
        <f>'Annex 7'!AH31</f>
        <v>45</v>
      </c>
      <c r="C33" s="1661"/>
      <c r="D33" s="1058"/>
      <c r="E33" s="1062" t="str">
        <f>'[15]Annex 7'!AQ31</f>
        <v xml:space="preserve">1-50m3 </v>
      </c>
      <c r="F33" s="1060">
        <f>'Annex 7'!AS31</f>
        <v>120</v>
      </c>
      <c r="G33" s="1661"/>
      <c r="H33" s="1059"/>
      <c r="I33" s="1060">
        <f>'Annex 7'!BD31</f>
        <v>120</v>
      </c>
      <c r="J33" s="1661"/>
      <c r="K33" s="1059"/>
      <c r="L33" s="1060">
        <f>'Annex 7'!BO31</f>
        <v>120</v>
      </c>
      <c r="M33" s="1661"/>
      <c r="N33" s="1059"/>
      <c r="O33" s="1060">
        <f>'Annex 7'!BZ31</f>
        <v>120</v>
      </c>
      <c r="P33" s="1661"/>
      <c r="Q33" s="1059"/>
      <c r="R33" s="1060">
        <f>'Annex 7'!CK31</f>
        <v>120</v>
      </c>
    </row>
    <row r="34" spans="1:18">
      <c r="A34" s="1054" t="str">
        <f t="shared" si="1"/>
        <v xml:space="preserve">7-20m3 </v>
      </c>
      <c r="B34" s="1060">
        <f>'Annex 7'!AH32</f>
        <v>67.5</v>
      </c>
      <c r="C34" s="1661"/>
      <c r="D34" s="1058"/>
      <c r="E34" s="1062" t="str">
        <f>'[15]Annex 7'!AQ32</f>
        <v xml:space="preserve">51-100m3 </v>
      </c>
      <c r="F34" s="1060">
        <f>'Annex 7'!AS32</f>
        <v>145</v>
      </c>
      <c r="G34" s="1661"/>
      <c r="H34" s="1059"/>
      <c r="I34" s="1060">
        <f>'Annex 7'!BD32</f>
        <v>145</v>
      </c>
      <c r="J34" s="1661"/>
      <c r="K34" s="1059"/>
      <c r="L34" s="1060">
        <f>'Annex 7'!BO32</f>
        <v>145</v>
      </c>
      <c r="M34" s="1661"/>
      <c r="N34" s="1059"/>
      <c r="O34" s="1060">
        <f>'Annex 7'!BZ32</f>
        <v>145</v>
      </c>
      <c r="P34" s="1661"/>
      <c r="Q34" s="1059"/>
      <c r="R34" s="1060">
        <f>'Annex 7'!CK32</f>
        <v>145</v>
      </c>
    </row>
    <row r="35" spans="1:18">
      <c r="A35" s="1054" t="str">
        <f t="shared" si="1"/>
        <v xml:space="preserve">21-50m3 </v>
      </c>
      <c r="B35" s="1060">
        <f>'Annex 7'!AH33</f>
        <v>87.75</v>
      </c>
      <c r="C35" s="1661"/>
      <c r="D35" s="1058"/>
      <c r="E35" s="1062" t="str">
        <f>'[15]Annex 7'!AQ33</f>
        <v xml:space="preserve">101-300m3 </v>
      </c>
      <c r="F35" s="1060">
        <f>'Annex 7'!AS33</f>
        <v>165</v>
      </c>
      <c r="G35" s="1661"/>
      <c r="H35" s="1059"/>
      <c r="I35" s="1060">
        <f>'Annex 7'!BD33</f>
        <v>165</v>
      </c>
      <c r="J35" s="1661"/>
      <c r="K35" s="1059"/>
      <c r="L35" s="1060">
        <f>'Annex 7'!BO33</f>
        <v>165</v>
      </c>
      <c r="M35" s="1661"/>
      <c r="N35" s="1059"/>
      <c r="O35" s="1060">
        <f>'Annex 7'!BZ33</f>
        <v>165</v>
      </c>
      <c r="P35" s="1661"/>
      <c r="Q35" s="1059"/>
      <c r="R35" s="1060">
        <f>'Annex 7'!CK33</f>
        <v>165</v>
      </c>
    </row>
    <row r="36" spans="1:18">
      <c r="A36" s="1054" t="str">
        <f t="shared" si="1"/>
        <v xml:space="preserve">51-100m3 </v>
      </c>
      <c r="B36" s="1060">
        <f>'Annex 7'!AH34</f>
        <v>108</v>
      </c>
      <c r="C36" s="1943"/>
      <c r="D36" s="1058"/>
      <c r="E36" s="1062" t="str">
        <f>'[15]Annex 7'!AQ34</f>
        <v>&gt;300m3</v>
      </c>
      <c r="F36" s="1060">
        <f>'Annex 7'!AS34</f>
        <v>210</v>
      </c>
      <c r="G36" s="1660"/>
      <c r="H36" s="1059"/>
      <c r="I36" s="1060">
        <f>'Annex 7'!BD34</f>
        <v>210</v>
      </c>
      <c r="J36" s="1063"/>
      <c r="K36" s="1059"/>
      <c r="L36" s="1060">
        <f>'Annex 7'!BO34</f>
        <v>210</v>
      </c>
      <c r="M36" s="1063"/>
      <c r="N36" s="1059"/>
      <c r="O36" s="1060">
        <f>'Annex 7'!BZ34</f>
        <v>210</v>
      </c>
      <c r="P36" s="1063"/>
      <c r="Q36" s="1059"/>
      <c r="R36" s="1060">
        <f>'Annex 7'!CK34</f>
        <v>210</v>
      </c>
    </row>
    <row r="37" spans="1:18">
      <c r="A37" s="1054" t="str">
        <f t="shared" si="1"/>
        <v xml:space="preserve">101-300m3 </v>
      </c>
      <c r="B37" s="1060">
        <f>'Annex 7'!AH35</f>
        <v>135</v>
      </c>
      <c r="C37" s="1943"/>
      <c r="D37" s="1058"/>
      <c r="E37" s="1062"/>
      <c r="F37" s="1060"/>
      <c r="G37" s="1661"/>
      <c r="H37" s="1059"/>
      <c r="I37" s="1060"/>
      <c r="J37" s="1064"/>
      <c r="K37" s="1059"/>
      <c r="L37" s="1060"/>
      <c r="M37" s="1064"/>
      <c r="N37" s="1059"/>
      <c r="O37" s="1060"/>
      <c r="P37" s="1064"/>
      <c r="Q37" s="1059"/>
      <c r="R37" s="1060"/>
    </row>
    <row r="38" spans="1:18">
      <c r="A38" s="1054" t="str">
        <f t="shared" si="1"/>
        <v>&gt;300m3</v>
      </c>
      <c r="B38" s="1060">
        <f>'Annex 7'!AH36</f>
        <v>175</v>
      </c>
      <c r="C38" s="1943"/>
      <c r="D38" s="1058"/>
      <c r="E38" s="1062"/>
      <c r="F38" s="1060"/>
      <c r="G38" s="1661"/>
      <c r="H38" s="1059"/>
      <c r="I38" s="1060"/>
      <c r="J38" s="1064"/>
      <c r="K38" s="1059"/>
      <c r="L38" s="1060"/>
      <c r="M38" s="1064"/>
      <c r="N38" s="1059"/>
      <c r="O38" s="1060"/>
      <c r="P38" s="1064"/>
      <c r="Q38" s="1059"/>
      <c r="R38" s="1060"/>
    </row>
    <row r="39" spans="1:18" ht="13.7" customHeight="1">
      <c r="A39" s="1047" t="s">
        <v>204</v>
      </c>
      <c r="B39" s="1060"/>
      <c r="C39" s="1065"/>
      <c r="D39" s="1058"/>
      <c r="E39" s="1061" t="s">
        <v>204</v>
      </c>
      <c r="F39" s="1060"/>
      <c r="G39" s="1065"/>
      <c r="H39" s="1059"/>
      <c r="I39" s="1060"/>
      <c r="J39" s="1065"/>
      <c r="K39" s="1059"/>
      <c r="L39" s="1060"/>
      <c r="M39" s="1065"/>
      <c r="N39" s="1059"/>
      <c r="O39" s="1060"/>
      <c r="P39" s="1065"/>
      <c r="Q39" s="1059"/>
      <c r="R39" s="1060"/>
    </row>
    <row r="40" spans="1:18">
      <c r="A40" s="1047" t="s">
        <v>11</v>
      </c>
      <c r="B40" s="1060"/>
      <c r="C40" s="1066"/>
      <c r="D40" s="1067"/>
      <c r="E40" s="1068" t="s">
        <v>11</v>
      </c>
      <c r="F40" s="1060"/>
      <c r="G40" s="1066"/>
      <c r="H40" s="1066"/>
      <c r="I40" s="1060"/>
      <c r="J40" s="1066"/>
      <c r="K40" s="1066"/>
      <c r="L40" s="1060"/>
      <c r="M40" s="1066"/>
      <c r="N40" s="1066"/>
      <c r="O40" s="1060"/>
      <c r="P40" s="1066"/>
      <c r="Q40" s="1059"/>
      <c r="R40" s="1060"/>
    </row>
    <row r="41" spans="1:18">
      <c r="A41" s="1054" t="str">
        <f>'[15]Annex 7'!A40</f>
        <v>0-600</v>
      </c>
      <c r="B41" s="1060">
        <f>'Annex 7'!AH40</f>
        <v>48</v>
      </c>
      <c r="C41" s="1942"/>
      <c r="D41" s="1058"/>
      <c r="E41" s="1062" t="str">
        <f>'[15]Annex 7'!AQ40</f>
        <v xml:space="preserve">1-600m3 </v>
      </c>
      <c r="F41" s="1060">
        <f>'Annex 7'!AS40</f>
        <v>90</v>
      </c>
      <c r="G41" s="1942"/>
      <c r="H41" s="1059"/>
      <c r="I41" s="1060">
        <f>'Annex 7'!BD40</f>
        <v>100</v>
      </c>
      <c r="J41" s="1942"/>
      <c r="K41" s="1059"/>
      <c r="L41" s="1060">
        <f>'Annex 7'!BO40</f>
        <v>100</v>
      </c>
      <c r="M41" s="1942"/>
      <c r="N41" s="1059"/>
      <c r="O41" s="1060">
        <f>'Annex 7'!BZ40</f>
        <v>100</v>
      </c>
      <c r="P41" s="1942"/>
      <c r="Q41" s="1059"/>
      <c r="R41" s="1060">
        <f>'Annex 7'!CK40</f>
        <v>100</v>
      </c>
    </row>
    <row r="42" spans="1:18">
      <c r="A42" s="1054" t="str">
        <f>'[15]Annex 7'!A41</f>
        <v>601-1200</v>
      </c>
      <c r="B42" s="1060">
        <f>'Annex 7'!AH41</f>
        <v>55</v>
      </c>
      <c r="C42" s="1943"/>
      <c r="D42" s="1058"/>
      <c r="E42" s="1062" t="str">
        <f>'[15]Annex 7'!AQ41</f>
        <v>601-1200m3</v>
      </c>
      <c r="F42" s="1060">
        <f>'Annex 7'!AS41</f>
        <v>125</v>
      </c>
      <c r="G42" s="1943"/>
      <c r="H42" s="1059"/>
      <c r="I42" s="1060">
        <f>'Annex 7'!BD41</f>
        <v>125</v>
      </c>
      <c r="J42" s="1943"/>
      <c r="K42" s="1059"/>
      <c r="L42" s="1060">
        <f>'Annex 7'!BO41</f>
        <v>125</v>
      </c>
      <c r="M42" s="1943"/>
      <c r="N42" s="1059"/>
      <c r="O42" s="1060">
        <f>'Annex 7'!BZ41</f>
        <v>125</v>
      </c>
      <c r="P42" s="1943"/>
      <c r="Q42" s="1059"/>
      <c r="R42" s="1060">
        <f>'Annex 7'!CK41</f>
        <v>125</v>
      </c>
    </row>
    <row r="43" spans="1:18">
      <c r="A43" s="1054" t="str">
        <f>'[15]Annex 7'!A42</f>
        <v>&gt;1200</v>
      </c>
      <c r="B43" s="1060">
        <f>'Annex 7'!AH42</f>
        <v>60</v>
      </c>
      <c r="C43" s="1944"/>
      <c r="D43" s="1058"/>
      <c r="E43" s="1062" t="str">
        <f>'[15]Annex 7'!AQ42</f>
        <v>&gt;1200m3</v>
      </c>
      <c r="F43" s="1060">
        <f>'Annex 7'!AS42</f>
        <v>170</v>
      </c>
      <c r="G43" s="1944"/>
      <c r="H43" s="1059"/>
      <c r="I43" s="1060">
        <f>'Annex 7'!BD42</f>
        <v>170</v>
      </c>
      <c r="J43" s="1944"/>
      <c r="K43" s="1059"/>
      <c r="L43" s="1060">
        <f>'Annex 7'!BO42</f>
        <v>170</v>
      </c>
      <c r="M43" s="1944"/>
      <c r="N43" s="1059"/>
      <c r="O43" s="1060">
        <f>'Annex 7'!BZ42</f>
        <v>170</v>
      </c>
      <c r="P43" s="1944"/>
      <c r="Q43" s="1059"/>
      <c r="R43" s="1060">
        <f>'Annex 7'!CK42</f>
        <v>170</v>
      </c>
    </row>
    <row r="44" spans="1:18">
      <c r="A44" s="1054"/>
      <c r="B44" s="1060"/>
      <c r="C44" s="1069"/>
      <c r="D44" s="1058"/>
      <c r="E44" s="1062"/>
      <c r="F44" s="1060"/>
      <c r="G44" s="1069"/>
      <c r="H44" s="1059"/>
      <c r="I44" s="1060"/>
      <c r="J44" s="1069"/>
      <c r="K44" s="1059"/>
      <c r="L44" s="1060"/>
      <c r="M44" s="1069"/>
      <c r="N44" s="1059"/>
      <c r="O44" s="1060"/>
      <c r="P44" s="1069"/>
      <c r="Q44" s="1059"/>
      <c r="R44" s="1060"/>
    </row>
    <row r="45" spans="1:18" ht="22.5" customHeight="1">
      <c r="A45" s="1047" t="s">
        <v>16</v>
      </c>
      <c r="B45" s="1060">
        <f>'Annex 7'!AH45</f>
        <v>35</v>
      </c>
      <c r="C45" s="1070"/>
      <c r="D45" s="1058"/>
      <c r="E45" s="1061" t="s">
        <v>16</v>
      </c>
      <c r="F45" s="1060">
        <f>'Annex 7'!AS45</f>
        <v>35</v>
      </c>
      <c r="G45" s="1070"/>
      <c r="H45" s="1059"/>
      <c r="I45" s="1060">
        <f>'Annex 7'!BD45</f>
        <v>35</v>
      </c>
      <c r="J45" s="1060"/>
      <c r="K45" s="1059"/>
      <c r="L45" s="1060">
        <f>'Annex 7'!BO45</f>
        <v>35</v>
      </c>
      <c r="M45" s="1060"/>
      <c r="N45" s="1059"/>
      <c r="O45" s="1060">
        <f>'Annex 7'!BZ45</f>
        <v>35</v>
      </c>
      <c r="P45" s="1060"/>
      <c r="Q45" s="1059"/>
      <c r="R45" s="1060">
        <f>'Annex 7'!CK45</f>
        <v>35</v>
      </c>
    </row>
    <row r="46" spans="1:18" ht="16.899999999999999" customHeight="1">
      <c r="A46" s="1047"/>
      <c r="B46" s="1060"/>
      <c r="C46" s="1070"/>
      <c r="D46" s="1058"/>
      <c r="E46" s="1062"/>
      <c r="F46" s="1060"/>
      <c r="G46" s="1070"/>
      <c r="H46" s="1059"/>
      <c r="I46" s="1060"/>
      <c r="J46" s="1060"/>
      <c r="K46" s="1059"/>
      <c r="L46" s="1060"/>
      <c r="M46" s="1060"/>
      <c r="N46" s="1059"/>
      <c r="O46" s="1060"/>
      <c r="P46" s="1060"/>
      <c r="Q46" s="1059"/>
      <c r="R46" s="1060"/>
    </row>
    <row r="47" spans="1:18" ht="13.5" thickBot="1">
      <c r="A47" s="1071" t="s">
        <v>207</v>
      </c>
      <c r="B47" s="1060"/>
      <c r="C47" s="457"/>
      <c r="D47" s="1072"/>
      <c r="E47" s="1073" t="s">
        <v>207</v>
      </c>
      <c r="F47" s="1060"/>
      <c r="G47" s="457"/>
      <c r="H47" s="457"/>
      <c r="I47" s="1060"/>
      <c r="J47" s="457"/>
      <c r="K47" s="457"/>
      <c r="L47" s="1060"/>
      <c r="M47" s="457"/>
      <c r="N47" s="457"/>
      <c r="O47" s="1060"/>
      <c r="P47" s="457"/>
      <c r="Q47" s="457"/>
      <c r="R47" s="1060"/>
    </row>
  </sheetData>
  <mergeCells count="23">
    <mergeCell ref="B8:D8"/>
    <mergeCell ref="F8:K8"/>
    <mergeCell ref="B9:D9"/>
    <mergeCell ref="F9:H9"/>
    <mergeCell ref="I9:K9"/>
    <mergeCell ref="O9:Q9"/>
    <mergeCell ref="C19:C21"/>
    <mergeCell ref="G19:G21"/>
    <mergeCell ref="J19:J21"/>
    <mergeCell ref="M19:M21"/>
    <mergeCell ref="P19:P21"/>
    <mergeCell ref="L9:N9"/>
    <mergeCell ref="P41:P43"/>
    <mergeCell ref="C27:C29"/>
    <mergeCell ref="G27:G29"/>
    <mergeCell ref="J27:J29"/>
    <mergeCell ref="M27:M29"/>
    <mergeCell ref="P27:P29"/>
    <mergeCell ref="C36:C38"/>
    <mergeCell ref="C41:C43"/>
    <mergeCell ref="G41:G43"/>
    <mergeCell ref="J41:J43"/>
    <mergeCell ref="M41:M43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77"/>
  <sheetViews>
    <sheetView topLeftCell="B1" workbookViewId="0">
      <selection activeCell="J10" sqref="J10"/>
    </sheetView>
  </sheetViews>
  <sheetFormatPr defaultColWidth="9.140625" defaultRowHeight="12.75"/>
  <cols>
    <col min="1" max="1" width="1.5703125" style="595" customWidth="1"/>
    <col min="2" max="2" width="5" style="595" customWidth="1"/>
    <col min="3" max="4" width="9.140625" style="595"/>
    <col min="5" max="5" width="27" style="595" customWidth="1"/>
    <col min="6" max="6" width="12.5703125" style="595" customWidth="1"/>
    <col min="7" max="7" width="14.42578125" style="595" customWidth="1"/>
    <col min="8" max="8" width="14.42578125" style="717" customWidth="1"/>
    <col min="9" max="9" width="14.42578125" style="595" customWidth="1"/>
    <col min="10" max="13" width="13.5703125" style="595" customWidth="1"/>
    <col min="14" max="16384" width="9.140625" style="595"/>
  </cols>
  <sheetData>
    <row r="1" spans="1:13" s="579" customFormat="1" ht="12" customHeight="1">
      <c r="A1" s="575"/>
      <c r="B1" s="576"/>
      <c r="C1" s="576"/>
      <c r="D1" s="576"/>
      <c r="E1" s="576"/>
      <c r="F1" s="576"/>
      <c r="G1" s="576"/>
      <c r="H1" s="577"/>
      <c r="I1" s="576"/>
      <c r="J1" s="578"/>
      <c r="K1" s="578"/>
      <c r="L1" s="578"/>
      <c r="M1" s="578"/>
    </row>
    <row r="2" spans="1:13" s="579" customFormat="1" ht="15.2" customHeight="1">
      <c r="A2" s="580"/>
      <c r="B2" s="581"/>
      <c r="C2" s="582" t="s">
        <v>603</v>
      </c>
      <c r="D2" s="583"/>
      <c r="E2" s="583"/>
      <c r="F2" s="583"/>
      <c r="G2" s="583"/>
      <c r="H2" s="584"/>
      <c r="I2" s="583"/>
      <c r="J2" s="585" t="s">
        <v>860</v>
      </c>
      <c r="K2" s="585"/>
      <c r="L2" s="585"/>
      <c r="M2" s="585"/>
    </row>
    <row r="3" spans="1:13" s="579" customFormat="1" ht="12.75" customHeight="1" thickBot="1">
      <c r="A3" s="580"/>
      <c r="B3" s="581"/>
      <c r="C3" s="581"/>
      <c r="D3" s="581"/>
      <c r="E3" s="581"/>
      <c r="F3" s="581"/>
      <c r="G3" s="581"/>
      <c r="H3" s="586"/>
      <c r="I3" s="587"/>
      <c r="J3" s="588"/>
      <c r="K3" s="588"/>
      <c r="L3" s="588"/>
      <c r="M3" s="588"/>
    </row>
    <row r="4" spans="1:13" ht="17.25" customHeight="1" thickBot="1">
      <c r="A4" s="589"/>
      <c r="B4" s="590"/>
      <c r="C4" s="590"/>
      <c r="D4" s="590"/>
      <c r="E4" s="590"/>
      <c r="F4" s="591"/>
      <c r="G4" s="592" t="s">
        <v>169</v>
      </c>
      <c r="H4" s="593" t="s">
        <v>170</v>
      </c>
      <c r="I4" s="594" t="s">
        <v>171</v>
      </c>
      <c r="J4" s="594" t="s">
        <v>172</v>
      </c>
      <c r="K4" s="594" t="s">
        <v>173</v>
      </c>
      <c r="L4" s="594" t="s">
        <v>173</v>
      </c>
      <c r="M4" s="594" t="s">
        <v>173</v>
      </c>
    </row>
    <row r="5" spans="1:13" s="602" customFormat="1" ht="15.2" customHeight="1">
      <c r="A5" s="596"/>
      <c r="B5" s="597"/>
      <c r="C5" s="597"/>
      <c r="D5" s="597"/>
      <c r="E5" s="597"/>
      <c r="F5" s="598"/>
      <c r="G5" s="599" t="s">
        <v>242</v>
      </c>
      <c r="H5" s="600" t="s">
        <v>243</v>
      </c>
      <c r="I5" s="601" t="s">
        <v>243</v>
      </c>
      <c r="J5" s="601" t="s">
        <v>243</v>
      </c>
      <c r="K5" s="601" t="s">
        <v>243</v>
      </c>
      <c r="L5" s="601" t="s">
        <v>243</v>
      </c>
      <c r="M5" s="601" t="s">
        <v>243</v>
      </c>
    </row>
    <row r="6" spans="1:13" ht="16.5" customHeight="1" thickBot="1">
      <c r="A6" s="603"/>
      <c r="B6" s="604"/>
      <c r="C6" s="604"/>
      <c r="D6" s="604"/>
      <c r="E6" s="604"/>
      <c r="F6" s="581"/>
      <c r="G6" s="605" t="s">
        <v>148</v>
      </c>
      <c r="H6" s="600" t="s">
        <v>244</v>
      </c>
      <c r="I6" s="601" t="s">
        <v>244</v>
      </c>
      <c r="J6" s="601" t="s">
        <v>244</v>
      </c>
      <c r="K6" s="601" t="s">
        <v>244</v>
      </c>
      <c r="L6" s="601" t="s">
        <v>244</v>
      </c>
      <c r="M6" s="601" t="s">
        <v>244</v>
      </c>
    </row>
    <row r="7" spans="1:13" ht="12" customHeight="1">
      <c r="A7" s="606" t="s">
        <v>245</v>
      </c>
      <c r="B7" s="607"/>
      <c r="C7" s="607"/>
      <c r="D7" s="607"/>
      <c r="E7" s="608"/>
      <c r="F7" s="609" t="s">
        <v>246</v>
      </c>
      <c r="G7" s="610"/>
      <c r="H7" s="611"/>
      <c r="I7" s="612"/>
      <c r="J7" s="612"/>
      <c r="K7" s="612"/>
      <c r="L7" s="612"/>
      <c r="M7" s="612"/>
    </row>
    <row r="8" spans="1:13" ht="18" customHeight="1">
      <c r="A8" s="603"/>
      <c r="B8" s="613" t="s">
        <v>247</v>
      </c>
      <c r="C8" s="614" t="s">
        <v>220</v>
      </c>
      <c r="D8" s="615"/>
      <c r="E8" s="615"/>
      <c r="F8" s="616"/>
      <c r="G8" s="617"/>
      <c r="H8" s="618">
        <v>58</v>
      </c>
      <c r="I8" s="619">
        <v>60</v>
      </c>
      <c r="J8" s="619">
        <v>62</v>
      </c>
      <c r="K8" s="619">
        <v>64</v>
      </c>
      <c r="L8" s="619">
        <v>64</v>
      </c>
      <c r="M8" s="619">
        <v>64</v>
      </c>
    </row>
    <row r="9" spans="1:13" ht="15.2" customHeight="1">
      <c r="A9" s="603"/>
      <c r="B9" s="620"/>
      <c r="C9" s="621" t="s">
        <v>248</v>
      </c>
      <c r="D9" s="622"/>
      <c r="E9" s="622"/>
      <c r="F9" s="623" t="s">
        <v>249</v>
      </c>
      <c r="G9" s="624"/>
      <c r="H9" s="625"/>
      <c r="I9" s="625"/>
      <c r="J9" s="625"/>
      <c r="K9" s="625"/>
      <c r="L9" s="625"/>
      <c r="M9" s="625"/>
    </row>
    <row r="10" spans="1:13" s="633" customFormat="1" ht="15.2" customHeight="1">
      <c r="A10" s="626"/>
      <c r="B10" s="627"/>
      <c r="C10" s="628" t="s">
        <v>250</v>
      </c>
      <c r="D10" s="629"/>
      <c r="E10" s="629"/>
      <c r="F10" s="630" t="s">
        <v>249</v>
      </c>
      <c r="G10" s="631"/>
      <c r="H10" s="632"/>
      <c r="I10" s="632"/>
      <c r="J10" s="632"/>
      <c r="K10" s="632"/>
      <c r="L10" s="632"/>
      <c r="M10" s="632"/>
    </row>
    <row r="11" spans="1:13" ht="12.75" customHeight="1">
      <c r="A11" s="603"/>
      <c r="B11" s="620"/>
      <c r="C11" s="615"/>
      <c r="D11" s="615"/>
      <c r="E11" s="615"/>
      <c r="F11" s="616"/>
      <c r="G11" s="634"/>
      <c r="H11" s="618"/>
      <c r="I11" s="619"/>
      <c r="J11" s="619"/>
      <c r="K11" s="619"/>
      <c r="L11" s="619"/>
      <c r="M11" s="619"/>
    </row>
    <row r="12" spans="1:13" ht="18" customHeight="1">
      <c r="A12" s="603"/>
      <c r="B12" s="613" t="s">
        <v>251</v>
      </c>
      <c r="C12" s="635" t="s">
        <v>252</v>
      </c>
      <c r="D12" s="636"/>
      <c r="E12" s="622"/>
      <c r="F12" s="623"/>
      <c r="G12" s="634"/>
      <c r="H12" s="618"/>
      <c r="I12" s="619"/>
      <c r="J12" s="619"/>
      <c r="K12" s="619"/>
      <c r="L12" s="619"/>
      <c r="M12" s="619"/>
    </row>
    <row r="13" spans="1:13" s="633" customFormat="1" ht="18" customHeight="1">
      <c r="A13" s="626"/>
      <c r="B13" s="637"/>
      <c r="C13" s="638" t="s">
        <v>253</v>
      </c>
      <c r="D13" s="638"/>
      <c r="E13" s="638"/>
      <c r="F13" s="639" t="s">
        <v>144</v>
      </c>
      <c r="G13" s="640"/>
      <c r="H13" s="640"/>
      <c r="I13" s="640"/>
      <c r="J13" s="640"/>
      <c r="K13" s="640"/>
      <c r="L13" s="640"/>
      <c r="M13" s="640"/>
    </row>
    <row r="14" spans="1:13" s="633" customFormat="1" ht="18" customHeight="1">
      <c r="A14" s="626"/>
      <c r="B14" s="637"/>
      <c r="C14" s="638" t="s">
        <v>254</v>
      </c>
      <c r="D14" s="638"/>
      <c r="E14" s="638"/>
      <c r="F14" s="639" t="s">
        <v>249</v>
      </c>
      <c r="G14" s="631"/>
      <c r="H14" s="632"/>
      <c r="I14" s="632"/>
      <c r="J14" s="632"/>
      <c r="K14" s="632"/>
      <c r="L14" s="632"/>
      <c r="M14" s="632"/>
    </row>
    <row r="15" spans="1:13" ht="15.75" customHeight="1">
      <c r="A15" s="603"/>
      <c r="B15" s="620"/>
      <c r="C15" s="615"/>
      <c r="D15" s="615"/>
      <c r="E15" s="615"/>
      <c r="F15" s="616"/>
      <c r="G15" s="634"/>
      <c r="H15" s="618"/>
      <c r="I15" s="619"/>
      <c r="J15" s="619"/>
      <c r="K15" s="619"/>
      <c r="L15" s="619"/>
      <c r="M15" s="619"/>
    </row>
    <row r="16" spans="1:13" ht="18" customHeight="1">
      <c r="A16" s="603"/>
      <c r="B16" s="613" t="s">
        <v>255</v>
      </c>
      <c r="C16" s="635" t="s">
        <v>256</v>
      </c>
      <c r="D16" s="636"/>
      <c r="E16" s="636"/>
      <c r="F16" s="623"/>
      <c r="G16" s="624"/>
      <c r="H16" s="625"/>
      <c r="I16" s="641"/>
      <c r="J16" s="641"/>
      <c r="K16" s="641"/>
      <c r="L16" s="641"/>
      <c r="M16" s="641"/>
    </row>
    <row r="17" spans="1:13" ht="15">
      <c r="A17" s="603"/>
      <c r="B17" s="620"/>
      <c r="C17" s="615"/>
      <c r="D17" s="615"/>
      <c r="E17" s="615"/>
      <c r="F17" s="616"/>
      <c r="G17" s="634"/>
      <c r="H17" s="618"/>
      <c r="I17" s="619"/>
      <c r="J17" s="619"/>
      <c r="K17" s="619"/>
      <c r="L17" s="619"/>
      <c r="M17" s="619"/>
    </row>
    <row r="18" spans="1:13" ht="18" customHeight="1">
      <c r="A18" s="603"/>
      <c r="B18" s="613" t="s">
        <v>257</v>
      </c>
      <c r="C18" s="635" t="s">
        <v>258</v>
      </c>
      <c r="D18" s="636"/>
      <c r="E18" s="636"/>
      <c r="F18" s="623" t="s">
        <v>249</v>
      </c>
      <c r="G18" s="624"/>
      <c r="H18" s="625"/>
      <c r="I18" s="625"/>
      <c r="J18" s="625"/>
      <c r="K18" s="625"/>
      <c r="L18" s="625"/>
      <c r="M18" s="625"/>
    </row>
    <row r="19" spans="1:13" ht="10.5" customHeight="1">
      <c r="A19" s="603"/>
      <c r="B19" s="620"/>
      <c r="C19" s="615"/>
      <c r="D19" s="615"/>
      <c r="E19" s="615"/>
      <c r="F19" s="616"/>
      <c r="G19" s="642"/>
      <c r="H19" s="643"/>
      <c r="I19" s="644"/>
      <c r="J19" s="644"/>
      <c r="K19" s="644"/>
      <c r="L19" s="644"/>
      <c r="M19" s="644"/>
    </row>
    <row r="20" spans="1:13" ht="15.2" customHeight="1">
      <c r="A20" s="603"/>
      <c r="B20" s="613" t="s">
        <v>259</v>
      </c>
      <c r="C20" s="614" t="s">
        <v>260</v>
      </c>
      <c r="D20" s="614"/>
      <c r="E20" s="615"/>
      <c r="F20" s="616"/>
      <c r="G20" s="645"/>
      <c r="H20" s="646"/>
      <c r="I20" s="647"/>
      <c r="J20" s="647"/>
      <c r="K20" s="647"/>
      <c r="L20" s="647"/>
      <c r="M20" s="647"/>
    </row>
    <row r="21" spans="1:13" ht="15.2" customHeight="1">
      <c r="A21" s="603"/>
      <c r="B21" s="620"/>
      <c r="C21" s="621" t="s">
        <v>261</v>
      </c>
      <c r="D21" s="622"/>
      <c r="E21" s="622"/>
      <c r="F21" s="623" t="s">
        <v>262</v>
      </c>
      <c r="G21" s="648"/>
      <c r="H21" s="618"/>
      <c r="I21" s="619"/>
      <c r="J21" s="619"/>
      <c r="K21" s="619"/>
      <c r="L21" s="619"/>
      <c r="M21" s="619"/>
    </row>
    <row r="22" spans="1:13" ht="15.2" customHeight="1">
      <c r="A22" s="603"/>
      <c r="B22" s="620"/>
      <c r="C22" s="621" t="s">
        <v>263</v>
      </c>
      <c r="D22" s="622"/>
      <c r="E22" s="622"/>
      <c r="F22" s="623" t="s">
        <v>262</v>
      </c>
      <c r="G22" s="634"/>
      <c r="H22" s="649"/>
      <c r="I22" s="650"/>
      <c r="J22" s="650"/>
      <c r="K22" s="650"/>
      <c r="L22" s="650"/>
      <c r="M22" s="650"/>
    </row>
    <row r="23" spans="1:13" ht="15.2" customHeight="1">
      <c r="A23" s="603"/>
      <c r="B23" s="620"/>
      <c r="C23" s="621" t="s">
        <v>264</v>
      </c>
      <c r="D23" s="622"/>
      <c r="E23" s="622"/>
      <c r="F23" s="623" t="s">
        <v>262</v>
      </c>
      <c r="G23" s="634"/>
      <c r="H23" s="618"/>
      <c r="I23" s="619"/>
      <c r="J23" s="619"/>
      <c r="K23" s="619"/>
      <c r="L23" s="619"/>
      <c r="M23" s="619"/>
    </row>
    <row r="24" spans="1:13" ht="15.2" customHeight="1">
      <c r="A24" s="603"/>
      <c r="B24" s="620"/>
      <c r="C24" s="621" t="s">
        <v>265</v>
      </c>
      <c r="D24" s="622"/>
      <c r="E24" s="622"/>
      <c r="F24" s="623" t="s">
        <v>266</v>
      </c>
      <c r="G24" s="634"/>
      <c r="H24" s="618"/>
      <c r="I24" s="619"/>
      <c r="J24" s="619"/>
      <c r="K24" s="619"/>
      <c r="L24" s="619"/>
      <c r="M24" s="619"/>
    </row>
    <row r="25" spans="1:13" ht="16.5" customHeight="1">
      <c r="A25" s="603"/>
      <c r="B25" s="613" t="s">
        <v>267</v>
      </c>
      <c r="C25" s="614" t="s">
        <v>268</v>
      </c>
      <c r="D25" s="614"/>
      <c r="E25" s="614"/>
      <c r="F25" s="616" t="s">
        <v>249</v>
      </c>
      <c r="G25" s="642"/>
      <c r="H25" s="643"/>
      <c r="I25" s="644"/>
      <c r="J25" s="644"/>
      <c r="K25" s="644"/>
      <c r="L25" s="644"/>
      <c r="M25" s="644"/>
    </row>
    <row r="26" spans="1:13" ht="15.2" customHeight="1">
      <c r="A26" s="603"/>
      <c r="B26" s="620"/>
      <c r="C26" s="614" t="s">
        <v>269</v>
      </c>
      <c r="D26" s="614"/>
      <c r="E26" s="615"/>
      <c r="F26" s="616"/>
      <c r="G26" s="645"/>
      <c r="H26" s="646"/>
      <c r="I26" s="647"/>
      <c r="J26" s="647"/>
      <c r="K26" s="647"/>
      <c r="L26" s="647"/>
      <c r="M26" s="647"/>
    </row>
    <row r="27" spans="1:13" ht="15.2" customHeight="1">
      <c r="A27" s="603"/>
      <c r="B27" s="620"/>
      <c r="C27" s="621" t="s">
        <v>270</v>
      </c>
      <c r="D27" s="622"/>
      <c r="E27" s="622"/>
      <c r="F27" s="623"/>
      <c r="G27" s="634"/>
      <c r="H27" s="618"/>
      <c r="I27" s="619"/>
      <c r="J27" s="619"/>
      <c r="K27" s="619"/>
      <c r="L27" s="619"/>
      <c r="M27" s="619"/>
    </row>
    <row r="28" spans="1:13" ht="15.2" customHeight="1">
      <c r="A28" s="603"/>
      <c r="B28" s="620"/>
      <c r="C28" s="621" t="s">
        <v>271</v>
      </c>
      <c r="D28" s="622"/>
      <c r="E28" s="622"/>
      <c r="F28" s="623"/>
      <c r="G28" s="634"/>
      <c r="H28" s="618"/>
      <c r="I28" s="619"/>
      <c r="J28" s="619"/>
      <c r="K28" s="619"/>
      <c r="L28" s="619"/>
      <c r="M28" s="619"/>
    </row>
    <row r="29" spans="1:13" ht="15.2" customHeight="1">
      <c r="A29" s="603"/>
      <c r="B29" s="620"/>
      <c r="C29" s="621" t="s">
        <v>272</v>
      </c>
      <c r="D29" s="622"/>
      <c r="E29" s="622"/>
      <c r="F29" s="623"/>
      <c r="G29" s="634"/>
      <c r="H29" s="618"/>
      <c r="I29" s="619"/>
      <c r="J29" s="619"/>
      <c r="K29" s="619"/>
      <c r="L29" s="619"/>
      <c r="M29" s="619"/>
    </row>
    <row r="30" spans="1:13" ht="9" customHeight="1">
      <c r="A30" s="603"/>
      <c r="B30" s="620"/>
      <c r="C30" s="615"/>
      <c r="D30" s="615"/>
      <c r="E30" s="615"/>
      <c r="F30" s="616"/>
      <c r="G30" s="634"/>
      <c r="H30" s="618"/>
      <c r="I30" s="619"/>
      <c r="J30" s="619"/>
      <c r="K30" s="619"/>
      <c r="L30" s="619"/>
      <c r="M30" s="619"/>
    </row>
    <row r="31" spans="1:13" s="658" customFormat="1" ht="18" customHeight="1">
      <c r="A31" s="651"/>
      <c r="B31" s="652" t="s">
        <v>273</v>
      </c>
      <c r="C31" s="653" t="s">
        <v>274</v>
      </c>
      <c r="D31" s="654"/>
      <c r="E31" s="654"/>
      <c r="F31" s="655" t="s">
        <v>275</v>
      </c>
      <c r="G31" s="656"/>
      <c r="H31" s="618"/>
      <c r="I31" s="657"/>
      <c r="J31" s="657"/>
      <c r="K31" s="657"/>
      <c r="L31" s="657"/>
      <c r="M31" s="657"/>
    </row>
    <row r="32" spans="1:13" ht="15">
      <c r="A32" s="603"/>
      <c r="B32" s="620"/>
      <c r="C32" s="615"/>
      <c r="D32" s="615"/>
      <c r="E32" s="615"/>
      <c r="F32" s="616"/>
      <c r="G32" s="634"/>
      <c r="H32" s="618"/>
      <c r="I32" s="619"/>
      <c r="J32" s="619"/>
      <c r="K32" s="619"/>
      <c r="L32" s="619"/>
      <c r="M32" s="619"/>
    </row>
    <row r="33" spans="1:13" ht="18" customHeight="1">
      <c r="A33" s="603"/>
      <c r="B33" s="613" t="s">
        <v>276</v>
      </c>
      <c r="C33" s="635" t="s">
        <v>277</v>
      </c>
      <c r="D33" s="636"/>
      <c r="E33" s="636"/>
      <c r="F33" s="623" t="s">
        <v>249</v>
      </c>
      <c r="G33" s="634"/>
      <c r="H33" s="618"/>
      <c r="I33" s="619"/>
      <c r="J33" s="619"/>
      <c r="K33" s="619"/>
      <c r="L33" s="619"/>
      <c r="M33" s="619"/>
    </row>
    <row r="34" spans="1:13" ht="15">
      <c r="A34" s="603"/>
      <c r="B34" s="620"/>
      <c r="C34" s="615"/>
      <c r="D34" s="615"/>
      <c r="E34" s="615"/>
      <c r="F34" s="616"/>
      <c r="G34" s="634"/>
      <c r="H34" s="618"/>
      <c r="I34" s="619"/>
      <c r="J34" s="619"/>
      <c r="K34" s="619"/>
      <c r="L34" s="619"/>
      <c r="M34" s="619"/>
    </row>
    <row r="35" spans="1:13" ht="18" customHeight="1">
      <c r="A35" s="603"/>
      <c r="B35" s="613" t="s">
        <v>278</v>
      </c>
      <c r="C35" s="635" t="s">
        <v>279</v>
      </c>
      <c r="D35" s="636"/>
      <c r="E35" s="636"/>
      <c r="F35" s="623" t="s">
        <v>249</v>
      </c>
      <c r="G35" s="634"/>
      <c r="H35" s="618"/>
      <c r="I35" s="619"/>
      <c r="J35" s="619"/>
      <c r="K35" s="619"/>
      <c r="L35" s="619"/>
      <c r="M35" s="619"/>
    </row>
    <row r="36" spans="1:13" ht="15">
      <c r="A36" s="603"/>
      <c r="B36" s="620"/>
      <c r="C36" s="615"/>
      <c r="D36" s="615"/>
      <c r="E36" s="615"/>
      <c r="F36" s="616"/>
      <c r="G36" s="634"/>
      <c r="H36" s="618"/>
      <c r="I36" s="619"/>
      <c r="J36" s="619"/>
      <c r="K36" s="619"/>
      <c r="L36" s="619"/>
      <c r="M36" s="619"/>
    </row>
    <row r="37" spans="1:13" ht="18" customHeight="1">
      <c r="A37" s="603"/>
      <c r="B37" s="613" t="s">
        <v>280</v>
      </c>
      <c r="C37" s="635" t="s">
        <v>281</v>
      </c>
      <c r="D37" s="636"/>
      <c r="E37" s="636"/>
      <c r="F37" s="623"/>
      <c r="G37" s="634"/>
      <c r="H37" s="618"/>
      <c r="I37" s="619"/>
      <c r="J37" s="619"/>
      <c r="K37" s="619"/>
      <c r="L37" s="619"/>
      <c r="M37" s="619"/>
    </row>
    <row r="38" spans="1:13" ht="16.5" customHeight="1">
      <c r="A38" s="603"/>
      <c r="B38" s="613"/>
      <c r="C38" s="614" t="s">
        <v>282</v>
      </c>
      <c r="D38" s="614"/>
      <c r="E38" s="615"/>
      <c r="F38" s="616" t="s">
        <v>144</v>
      </c>
      <c r="G38" s="634"/>
      <c r="H38" s="618"/>
      <c r="I38" s="619"/>
      <c r="J38" s="619"/>
      <c r="K38" s="619"/>
      <c r="L38" s="619"/>
      <c r="M38" s="619"/>
    </row>
    <row r="39" spans="1:13" ht="14.25" customHeight="1">
      <c r="A39" s="603"/>
      <c r="B39" s="613"/>
      <c r="C39" s="614" t="s">
        <v>283</v>
      </c>
      <c r="D39" s="614"/>
      <c r="E39" s="615"/>
      <c r="F39" s="616" t="s">
        <v>249</v>
      </c>
      <c r="G39" s="634"/>
      <c r="H39" s="618"/>
      <c r="I39" s="619"/>
      <c r="J39" s="619"/>
      <c r="K39" s="619"/>
      <c r="L39" s="619"/>
      <c r="M39" s="619"/>
    </row>
    <row r="40" spans="1:13" ht="15">
      <c r="A40" s="603"/>
      <c r="B40" s="620"/>
      <c r="C40" s="615"/>
      <c r="D40" s="615"/>
      <c r="E40" s="615"/>
      <c r="F40" s="616"/>
      <c r="G40" s="634"/>
      <c r="H40" s="618"/>
      <c r="I40" s="619"/>
      <c r="J40" s="619"/>
      <c r="K40" s="619"/>
      <c r="L40" s="619"/>
      <c r="M40" s="619"/>
    </row>
    <row r="41" spans="1:13" ht="18" customHeight="1">
      <c r="A41" s="603"/>
      <c r="B41" s="613" t="s">
        <v>284</v>
      </c>
      <c r="C41" s="635" t="s">
        <v>285</v>
      </c>
      <c r="D41" s="636"/>
      <c r="E41" s="636"/>
      <c r="F41" s="623"/>
      <c r="G41" s="634"/>
      <c r="H41" s="618"/>
      <c r="I41" s="619"/>
      <c r="J41" s="619"/>
      <c r="K41" s="619"/>
      <c r="L41" s="619"/>
      <c r="M41" s="619"/>
    </row>
    <row r="42" spans="1:13" ht="9" customHeight="1" thickBot="1">
      <c r="A42" s="659"/>
      <c r="B42" s="660"/>
      <c r="C42" s="660"/>
      <c r="D42" s="660"/>
      <c r="E42" s="660"/>
      <c r="F42" s="661"/>
      <c r="G42" s="662"/>
      <c r="H42" s="643"/>
      <c r="I42" s="644"/>
      <c r="J42" s="644"/>
      <c r="K42" s="644"/>
      <c r="L42" s="644"/>
      <c r="M42" s="644"/>
    </row>
    <row r="43" spans="1:13" ht="14.25" customHeight="1">
      <c r="A43" s="1952" t="s">
        <v>286</v>
      </c>
      <c r="B43" s="1953"/>
      <c r="C43" s="1953"/>
      <c r="D43" s="1953"/>
      <c r="E43" s="1953"/>
      <c r="F43" s="1954"/>
      <c r="G43" s="663"/>
      <c r="H43" s="664"/>
      <c r="I43" s="665"/>
      <c r="J43" s="665"/>
      <c r="K43" s="665"/>
      <c r="L43" s="665"/>
      <c r="M43" s="665"/>
    </row>
    <row r="44" spans="1:13" ht="8.25" customHeight="1">
      <c r="A44" s="603"/>
      <c r="B44" s="615"/>
      <c r="C44" s="615"/>
      <c r="D44" s="615"/>
      <c r="E44" s="615"/>
      <c r="F44" s="666"/>
      <c r="G44" s="667"/>
      <c r="H44" s="618"/>
      <c r="I44" s="619"/>
      <c r="J44" s="619"/>
      <c r="K44" s="619"/>
      <c r="L44" s="619"/>
      <c r="M44" s="619"/>
    </row>
    <row r="45" spans="1:13" ht="18" customHeight="1">
      <c r="A45" s="603"/>
      <c r="B45" s="668">
        <v>1</v>
      </c>
      <c r="C45" s="635" t="s">
        <v>410</v>
      </c>
      <c r="D45" s="636"/>
      <c r="E45" s="636"/>
      <c r="F45" s="623" t="s">
        <v>249</v>
      </c>
      <c r="G45" s="669"/>
      <c r="H45" s="670"/>
      <c r="I45" s="670"/>
      <c r="J45" s="670"/>
      <c r="K45" s="670"/>
      <c r="L45" s="670"/>
      <c r="M45" s="670"/>
    </row>
    <row r="46" spans="1:13" ht="15.2" customHeight="1">
      <c r="A46" s="603"/>
      <c r="B46" s="614">
        <v>2</v>
      </c>
      <c r="C46" s="671" t="s">
        <v>287</v>
      </c>
      <c r="D46" s="672"/>
      <c r="E46" s="673"/>
      <c r="F46" s="674" t="s">
        <v>249</v>
      </c>
      <c r="G46" s="642"/>
      <c r="H46" s="643"/>
      <c r="I46" s="644"/>
      <c r="J46" s="644"/>
      <c r="K46" s="644"/>
      <c r="L46" s="644"/>
      <c r="M46" s="644"/>
    </row>
    <row r="47" spans="1:13" ht="12.75" customHeight="1">
      <c r="A47" s="603"/>
      <c r="B47" s="581"/>
      <c r="C47" s="675" t="s">
        <v>288</v>
      </c>
      <c r="D47" s="676"/>
      <c r="E47" s="676"/>
      <c r="F47" s="666"/>
      <c r="G47" s="645"/>
      <c r="H47" s="646"/>
      <c r="I47" s="647"/>
      <c r="J47" s="647"/>
      <c r="K47" s="647"/>
      <c r="L47" s="647"/>
      <c r="M47" s="647"/>
    </row>
    <row r="48" spans="1:13" ht="15.2" customHeight="1">
      <c r="A48" s="603"/>
      <c r="B48" s="614">
        <v>3</v>
      </c>
      <c r="C48" s="635" t="s">
        <v>104</v>
      </c>
      <c r="D48" s="636"/>
      <c r="E48" s="622"/>
      <c r="F48" s="623" t="s">
        <v>249</v>
      </c>
      <c r="G48" s="624"/>
      <c r="H48" s="624"/>
      <c r="I48" s="624"/>
      <c r="J48" s="624"/>
      <c r="K48" s="624"/>
      <c r="L48" s="624"/>
      <c r="M48" s="624"/>
    </row>
    <row r="49" spans="1:13" ht="15.2" customHeight="1">
      <c r="A49" s="603"/>
      <c r="B49" s="614">
        <v>4</v>
      </c>
      <c r="C49" s="635" t="s">
        <v>289</v>
      </c>
      <c r="D49" s="636"/>
      <c r="E49" s="636"/>
      <c r="F49" s="623" t="s">
        <v>249</v>
      </c>
      <c r="G49" s="624"/>
      <c r="H49" s="625"/>
      <c r="I49" s="641"/>
      <c r="J49" s="641"/>
      <c r="K49" s="641"/>
      <c r="L49" s="641"/>
      <c r="M49" s="641"/>
    </row>
    <row r="50" spans="1:13" ht="16.5" customHeight="1">
      <c r="A50" s="603"/>
      <c r="B50" s="614">
        <v>5</v>
      </c>
      <c r="C50" s="635" t="s">
        <v>290</v>
      </c>
      <c r="D50" s="636"/>
      <c r="E50" s="636"/>
      <c r="F50" s="674" t="s">
        <v>179</v>
      </c>
      <c r="G50" s="677"/>
      <c r="H50" s="678"/>
      <c r="I50" s="679"/>
      <c r="J50" s="679"/>
      <c r="K50" s="679"/>
      <c r="L50" s="679"/>
      <c r="M50" s="679"/>
    </row>
    <row r="51" spans="1:13" ht="15.2" customHeight="1">
      <c r="A51" s="603"/>
      <c r="B51" s="581"/>
      <c r="C51" s="621" t="s">
        <v>291</v>
      </c>
      <c r="D51" s="622"/>
      <c r="E51" s="622"/>
      <c r="F51" s="666"/>
      <c r="G51" s="680"/>
      <c r="H51" s="681"/>
      <c r="I51" s="682"/>
      <c r="J51" s="682"/>
      <c r="K51" s="682"/>
      <c r="L51" s="682"/>
      <c r="M51" s="682"/>
    </row>
    <row r="52" spans="1:13" ht="16.5" customHeight="1">
      <c r="A52" s="603"/>
      <c r="B52" s="614">
        <v>6</v>
      </c>
      <c r="C52" s="635" t="s">
        <v>292</v>
      </c>
      <c r="D52" s="636"/>
      <c r="E52" s="636"/>
      <c r="F52" s="623" t="s">
        <v>249</v>
      </c>
      <c r="G52" s="683"/>
      <c r="H52" s="684"/>
      <c r="I52" s="685"/>
      <c r="J52" s="685"/>
      <c r="K52" s="685"/>
      <c r="L52" s="685"/>
      <c r="M52" s="685"/>
    </row>
    <row r="53" spans="1:13" ht="15.2" customHeight="1">
      <c r="A53" s="603"/>
      <c r="B53" s="614">
        <v>7</v>
      </c>
      <c r="C53" s="635" t="s">
        <v>293</v>
      </c>
      <c r="D53" s="636"/>
      <c r="E53" s="636"/>
      <c r="F53" s="623" t="s">
        <v>294</v>
      </c>
      <c r="G53" s="634"/>
      <c r="H53" s="618"/>
      <c r="I53" s="619"/>
      <c r="J53" s="619"/>
      <c r="K53" s="619"/>
      <c r="L53" s="619"/>
      <c r="M53" s="619"/>
    </row>
    <row r="54" spans="1:13" ht="15.2" customHeight="1">
      <c r="A54" s="603"/>
      <c r="B54" s="614">
        <v>8</v>
      </c>
      <c r="C54" s="635" t="s">
        <v>258</v>
      </c>
      <c r="D54" s="636"/>
      <c r="E54" s="636"/>
      <c r="F54" s="623" t="s">
        <v>249</v>
      </c>
      <c r="G54" s="683"/>
      <c r="H54" s="618"/>
      <c r="I54" s="619"/>
      <c r="J54" s="619"/>
      <c r="K54" s="619"/>
      <c r="L54" s="619"/>
      <c r="M54" s="619"/>
    </row>
    <row r="55" spans="1:13" ht="9" customHeight="1" thickBot="1">
      <c r="A55" s="659"/>
      <c r="B55" s="660"/>
      <c r="C55" s="660"/>
      <c r="D55" s="660"/>
      <c r="E55" s="660"/>
      <c r="F55" s="661"/>
      <c r="G55" s="662"/>
      <c r="H55" s="643"/>
      <c r="I55" s="644"/>
      <c r="J55" s="644"/>
      <c r="K55" s="644"/>
      <c r="L55" s="644"/>
      <c r="M55" s="644"/>
    </row>
    <row r="56" spans="1:13" ht="15.75" customHeight="1">
      <c r="A56" s="1952" t="s">
        <v>295</v>
      </c>
      <c r="B56" s="1955"/>
      <c r="C56" s="1955"/>
      <c r="D56" s="1955"/>
      <c r="E56" s="1955"/>
      <c r="F56" s="1956"/>
      <c r="G56" s="663"/>
      <c r="H56" s="664"/>
      <c r="I56" s="665"/>
      <c r="J56" s="665"/>
      <c r="K56" s="665"/>
      <c r="L56" s="665"/>
      <c r="M56" s="665"/>
    </row>
    <row r="57" spans="1:13" ht="9" customHeight="1">
      <c r="A57" s="603"/>
      <c r="B57" s="581"/>
      <c r="C57" s="581"/>
      <c r="D57" s="581"/>
      <c r="E57" s="581"/>
      <c r="F57" s="686"/>
      <c r="G57" s="667"/>
      <c r="H57" s="618"/>
      <c r="I57" s="619"/>
      <c r="J57" s="619"/>
      <c r="K57" s="619"/>
      <c r="L57" s="619"/>
      <c r="M57" s="619"/>
    </row>
    <row r="58" spans="1:13" ht="16.5" customHeight="1">
      <c r="A58" s="603"/>
      <c r="B58" s="614">
        <v>1</v>
      </c>
      <c r="C58" s="635" t="s">
        <v>296</v>
      </c>
      <c r="D58" s="636"/>
      <c r="E58" s="636"/>
      <c r="F58" s="623" t="s">
        <v>861</v>
      </c>
      <c r="G58" s="683"/>
      <c r="H58" s="687"/>
      <c r="I58" s="688"/>
      <c r="J58" s="688"/>
      <c r="K58" s="688"/>
      <c r="L58" s="688"/>
      <c r="M58" s="688"/>
    </row>
    <row r="59" spans="1:13" ht="16.5" customHeight="1">
      <c r="A59" s="603"/>
      <c r="B59" s="614">
        <v>2</v>
      </c>
      <c r="C59" s="635" t="s">
        <v>297</v>
      </c>
      <c r="D59" s="636"/>
      <c r="E59" s="636"/>
      <c r="F59" s="623" t="s">
        <v>861</v>
      </c>
      <c r="G59" s="683"/>
      <c r="H59" s="687"/>
      <c r="I59" s="688"/>
      <c r="J59" s="688"/>
      <c r="K59" s="688"/>
      <c r="L59" s="688"/>
      <c r="M59" s="688"/>
    </row>
    <row r="60" spans="1:13" ht="14.25" customHeight="1">
      <c r="A60" s="603"/>
      <c r="B60" s="614">
        <v>3</v>
      </c>
      <c r="C60" s="671" t="s">
        <v>298</v>
      </c>
      <c r="D60" s="672"/>
      <c r="E60" s="672"/>
      <c r="F60" s="674" t="s">
        <v>299</v>
      </c>
      <c r="G60" s="642"/>
      <c r="H60" s="643"/>
      <c r="I60" s="644"/>
      <c r="J60" s="644"/>
      <c r="K60" s="644"/>
      <c r="L60" s="644"/>
      <c r="M60" s="644"/>
    </row>
    <row r="61" spans="1:13" ht="13.5" customHeight="1">
      <c r="A61" s="603"/>
      <c r="B61" s="615"/>
      <c r="C61" s="689" t="s">
        <v>300</v>
      </c>
      <c r="D61" s="690"/>
      <c r="E61" s="690"/>
      <c r="F61" s="666"/>
      <c r="G61" s="677"/>
      <c r="H61" s="691"/>
      <c r="I61" s="692"/>
      <c r="J61" s="692"/>
      <c r="K61" s="692"/>
      <c r="L61" s="692"/>
      <c r="M61" s="692"/>
    </row>
    <row r="62" spans="1:13" ht="12.75" customHeight="1">
      <c r="A62" s="603"/>
      <c r="B62" s="615"/>
      <c r="C62" s="689" t="s">
        <v>301</v>
      </c>
      <c r="D62" s="622"/>
      <c r="E62" s="622"/>
      <c r="F62" s="623"/>
      <c r="G62" s="683"/>
      <c r="H62" s="693"/>
      <c r="I62" s="694"/>
      <c r="J62" s="695"/>
      <c r="K62" s="695"/>
      <c r="L62" s="695"/>
      <c r="M62" s="695"/>
    </row>
    <row r="63" spans="1:13" ht="13.5" customHeight="1">
      <c r="A63" s="603"/>
      <c r="B63" s="615"/>
      <c r="C63" s="689" t="s">
        <v>302</v>
      </c>
      <c r="D63" s="615"/>
      <c r="E63" s="615"/>
      <c r="F63" s="616"/>
      <c r="G63" s="696"/>
      <c r="H63" s="697"/>
      <c r="I63" s="698"/>
      <c r="J63" s="698"/>
      <c r="K63" s="698"/>
      <c r="L63" s="698"/>
      <c r="M63" s="698"/>
    </row>
    <row r="64" spans="1:13" ht="15.2" customHeight="1">
      <c r="A64" s="603"/>
      <c r="B64" s="614">
        <v>4</v>
      </c>
      <c r="C64" s="671" t="s">
        <v>303</v>
      </c>
      <c r="D64" s="699"/>
      <c r="E64" s="699"/>
      <c r="F64" s="674"/>
      <c r="G64" s="642"/>
      <c r="H64" s="643"/>
      <c r="I64" s="644"/>
      <c r="J64" s="644"/>
      <c r="K64" s="644"/>
      <c r="L64" s="644"/>
      <c r="M64" s="644"/>
    </row>
    <row r="65" spans="1:13" ht="13.7" customHeight="1">
      <c r="A65" s="603"/>
      <c r="B65" s="615"/>
      <c r="C65" s="689" t="s">
        <v>304</v>
      </c>
      <c r="D65" s="690"/>
      <c r="E65" s="690"/>
      <c r="F65" s="666"/>
      <c r="G65" s="700"/>
      <c r="H65" s="701"/>
      <c r="I65" s="702"/>
      <c r="J65" s="702"/>
      <c r="K65" s="702"/>
      <c r="L65" s="702"/>
      <c r="M65" s="702"/>
    </row>
    <row r="66" spans="1:13" ht="15.75" customHeight="1">
      <c r="A66" s="603"/>
      <c r="B66" s="614">
        <v>6</v>
      </c>
      <c r="C66" s="671" t="s">
        <v>305</v>
      </c>
      <c r="D66" s="672"/>
      <c r="E66" s="672"/>
      <c r="F66" s="674"/>
      <c r="G66" s="642"/>
      <c r="H66" s="643"/>
      <c r="I66" s="644"/>
      <c r="J66" s="644"/>
      <c r="K66" s="644"/>
      <c r="L66" s="644"/>
      <c r="M66" s="644"/>
    </row>
    <row r="67" spans="1:13" ht="15.75" customHeight="1">
      <c r="A67" s="603"/>
      <c r="B67" s="614"/>
      <c r="C67" s="621" t="s">
        <v>306</v>
      </c>
      <c r="D67" s="636"/>
      <c r="E67" s="636"/>
      <c r="F67" s="623"/>
      <c r="G67" s="703"/>
      <c r="H67" s="704"/>
      <c r="I67" s="705"/>
      <c r="J67" s="705"/>
      <c r="K67" s="705"/>
      <c r="L67" s="705"/>
      <c r="M67" s="705"/>
    </row>
    <row r="68" spans="1:13" ht="15.75" customHeight="1">
      <c r="A68" s="603"/>
      <c r="B68" s="614"/>
      <c r="C68" s="621" t="s">
        <v>307</v>
      </c>
      <c r="D68" s="621"/>
      <c r="E68" s="636"/>
      <c r="F68" s="623"/>
      <c r="G68" s="706"/>
      <c r="H68" s="704"/>
      <c r="I68" s="705"/>
      <c r="J68" s="705"/>
      <c r="K68" s="705"/>
      <c r="L68" s="705"/>
      <c r="M68" s="705"/>
    </row>
    <row r="69" spans="1:13" ht="12" customHeight="1">
      <c r="A69" s="603"/>
      <c r="B69" s="615"/>
      <c r="C69" s="707" t="s">
        <v>308</v>
      </c>
      <c r="D69" s="615"/>
      <c r="E69" s="615"/>
      <c r="F69" s="616"/>
      <c r="G69" s="708"/>
      <c r="H69" s="709"/>
      <c r="I69" s="708"/>
      <c r="J69" s="708"/>
      <c r="K69" s="708"/>
      <c r="L69" s="708"/>
      <c r="M69" s="708"/>
    </row>
    <row r="70" spans="1:13" ht="8.25" customHeight="1" thickBot="1">
      <c r="A70" s="659"/>
      <c r="B70" s="660"/>
      <c r="C70" s="710"/>
      <c r="D70" s="711"/>
      <c r="E70" s="711"/>
      <c r="F70" s="712"/>
      <c r="G70" s="713"/>
      <c r="H70" s="714"/>
      <c r="I70" s="715"/>
      <c r="J70" s="715"/>
      <c r="K70" s="715"/>
      <c r="L70" s="715"/>
      <c r="M70" s="715"/>
    </row>
    <row r="77" spans="1:13">
      <c r="F77" s="716"/>
      <c r="G77" s="716"/>
    </row>
  </sheetData>
  <mergeCells count="2">
    <mergeCell ref="A43:F43"/>
    <mergeCell ref="A56:F5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W39"/>
  <sheetViews>
    <sheetView workbookViewId="0">
      <selection activeCell="X16" sqref="X16"/>
    </sheetView>
  </sheetViews>
  <sheetFormatPr defaultColWidth="9" defaultRowHeight="15"/>
  <cols>
    <col min="1" max="1" width="5.5703125" customWidth="1"/>
    <col min="2" max="2" width="8.42578125" customWidth="1"/>
    <col min="7" max="7" width="12.5703125" customWidth="1"/>
    <col min="8" max="8" width="6.42578125" customWidth="1"/>
    <col min="9" max="9" width="1" customWidth="1"/>
    <col min="10" max="10" width="2.5703125" customWidth="1"/>
    <col min="13" max="13" width="10.140625" customWidth="1"/>
    <col min="14" max="14" width="11.140625" customWidth="1"/>
    <col min="17" max="17" width="6.5703125" customWidth="1"/>
    <col min="18" max="18" width="6.140625" customWidth="1"/>
    <col min="19" max="19" width="6.42578125" customWidth="1"/>
    <col min="20" max="20" width="6.5703125" customWidth="1"/>
    <col min="21" max="21" width="5.5703125" customWidth="1"/>
    <col min="22" max="22" width="3.5703125" customWidth="1"/>
    <col min="23" max="23" width="2.42578125" customWidth="1"/>
  </cols>
  <sheetData>
    <row r="2" spans="2:23" ht="15.75" thickBot="1"/>
    <row r="3" spans="2:23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7"/>
    </row>
    <row r="4" spans="2:23" ht="16.5" customHeight="1" thickBot="1">
      <c r="B4" s="116"/>
      <c r="I4" s="64"/>
      <c r="J4" s="64"/>
      <c r="K4" s="117" t="s">
        <v>68</v>
      </c>
      <c r="L4" s="64"/>
      <c r="M4" s="64"/>
      <c r="N4" s="64"/>
      <c r="O4" s="64"/>
      <c r="P4" s="64"/>
      <c r="Q4" s="64"/>
      <c r="R4" s="64"/>
      <c r="S4" s="64"/>
      <c r="T4" s="64"/>
      <c r="U4" s="60"/>
    </row>
    <row r="5" spans="2:23" ht="15" customHeight="1" thickBot="1">
      <c r="B5" s="58"/>
      <c r="I5" s="118"/>
      <c r="K5" s="1958" t="s">
        <v>309</v>
      </c>
      <c r="L5" s="1958"/>
      <c r="M5" s="1958" t="s">
        <v>310</v>
      </c>
      <c r="N5" s="1958"/>
      <c r="O5" s="1959" t="s">
        <v>311</v>
      </c>
      <c r="P5" s="1960"/>
      <c r="T5" s="60"/>
      <c r="U5" s="60"/>
    </row>
    <row r="6" spans="2:23" ht="15.75" thickBot="1">
      <c r="B6" s="58"/>
      <c r="C6" s="1963" t="s">
        <v>70</v>
      </c>
      <c r="D6" s="1963"/>
      <c r="E6" s="1963"/>
      <c r="F6" s="1963"/>
      <c r="G6" s="1963"/>
      <c r="I6" s="118"/>
      <c r="K6" s="119" t="s">
        <v>312</v>
      </c>
      <c r="L6" s="120" t="s">
        <v>313</v>
      </c>
      <c r="M6" s="120" t="s">
        <v>312</v>
      </c>
      <c r="N6" s="121" t="s">
        <v>313</v>
      </c>
      <c r="O6" s="1961"/>
      <c r="P6" s="1962"/>
      <c r="Q6" s="64"/>
      <c r="R6" s="64"/>
      <c r="S6" s="64"/>
      <c r="T6" s="65"/>
      <c r="U6" s="60"/>
    </row>
    <row r="7" spans="2:23">
      <c r="B7" s="122" t="s">
        <v>145</v>
      </c>
      <c r="C7" s="123" t="s">
        <v>314</v>
      </c>
      <c r="D7" s="124"/>
      <c r="E7" s="124"/>
      <c r="F7" s="124"/>
      <c r="G7" s="125"/>
      <c r="I7" s="118"/>
      <c r="K7" s="126"/>
      <c r="L7" s="112"/>
      <c r="M7" s="127"/>
      <c r="N7" s="128"/>
      <c r="O7" s="55"/>
      <c r="P7" s="56"/>
      <c r="Q7" s="56"/>
      <c r="R7" s="56"/>
      <c r="S7" s="56"/>
      <c r="T7" s="57"/>
      <c r="U7" s="60"/>
    </row>
    <row r="8" spans="2:23">
      <c r="B8" s="129"/>
      <c r="C8" s="123" t="s">
        <v>315</v>
      </c>
      <c r="D8" s="124"/>
      <c r="E8" s="124"/>
      <c r="F8" s="124"/>
      <c r="G8" s="125"/>
      <c r="I8" s="118"/>
      <c r="K8" s="130"/>
      <c r="L8" s="112"/>
      <c r="M8" s="127"/>
      <c r="N8" s="128"/>
      <c r="O8" s="58"/>
      <c r="T8" s="60"/>
      <c r="U8" s="60"/>
    </row>
    <row r="9" spans="2:23">
      <c r="B9" s="122" t="s">
        <v>106</v>
      </c>
      <c r="C9" s="123" t="s">
        <v>316</v>
      </c>
      <c r="D9" s="124" t="s">
        <v>314</v>
      </c>
      <c r="E9" s="124"/>
      <c r="F9" s="124"/>
      <c r="G9" s="125"/>
      <c r="I9" s="118"/>
      <c r="K9" s="126"/>
      <c r="L9" s="112"/>
      <c r="M9" s="127"/>
      <c r="N9" s="128"/>
      <c r="O9" s="58"/>
      <c r="T9" s="60"/>
      <c r="U9" s="60"/>
    </row>
    <row r="10" spans="2:23">
      <c r="B10" s="122" t="s">
        <v>130</v>
      </c>
      <c r="C10" s="123" t="s">
        <v>317</v>
      </c>
      <c r="D10" s="124" t="s">
        <v>318</v>
      </c>
      <c r="E10" s="124"/>
      <c r="F10" s="124"/>
      <c r="G10" s="125"/>
      <c r="I10" s="118"/>
      <c r="K10" s="126"/>
      <c r="L10" s="112"/>
      <c r="M10" s="127"/>
      <c r="N10" s="128"/>
      <c r="O10" s="58"/>
      <c r="T10" s="60"/>
      <c r="U10" s="60"/>
    </row>
    <row r="11" spans="2:23">
      <c r="B11" s="122" t="s">
        <v>138</v>
      </c>
      <c r="C11" s="123" t="s">
        <v>587</v>
      </c>
      <c r="D11" s="124" t="s">
        <v>319</v>
      </c>
      <c r="E11" s="124"/>
      <c r="F11" s="124"/>
      <c r="G11" s="125"/>
      <c r="I11" s="118"/>
      <c r="K11" s="126"/>
      <c r="L11" s="112"/>
      <c r="M11" s="127"/>
      <c r="N11" s="128"/>
      <c r="O11" s="58"/>
      <c r="T11" s="60"/>
      <c r="U11" s="60"/>
      <c r="W11" s="1975" t="s">
        <v>320</v>
      </c>
    </row>
    <row r="12" spans="2:23">
      <c r="B12" s="122" t="s">
        <v>321</v>
      </c>
      <c r="C12" s="123" t="s">
        <v>322</v>
      </c>
      <c r="D12" s="124" t="s">
        <v>585</v>
      </c>
      <c r="E12" s="124"/>
      <c r="F12" s="124"/>
      <c r="G12" s="125"/>
      <c r="I12" s="118"/>
      <c r="K12" s="126"/>
      <c r="L12" s="112"/>
      <c r="M12" s="127"/>
      <c r="N12" s="128"/>
      <c r="O12" s="58"/>
      <c r="T12" s="60"/>
      <c r="U12" s="60"/>
      <c r="W12" s="1975"/>
    </row>
    <row r="13" spans="2:23">
      <c r="B13" s="122" t="s">
        <v>323</v>
      </c>
      <c r="C13" s="123" t="s">
        <v>586</v>
      </c>
      <c r="D13" s="124" t="s">
        <v>324</v>
      </c>
      <c r="E13" s="124"/>
      <c r="F13" s="124"/>
      <c r="G13" s="125"/>
      <c r="I13" s="118"/>
      <c r="K13" s="126"/>
      <c r="L13" s="112"/>
      <c r="M13" s="127"/>
      <c r="N13" s="128"/>
      <c r="O13" s="58"/>
      <c r="T13" s="60"/>
      <c r="U13" s="60"/>
      <c r="W13" s="1975"/>
    </row>
    <row r="14" spans="2:23">
      <c r="B14" s="122" t="s">
        <v>325</v>
      </c>
      <c r="C14" s="123" t="s">
        <v>326</v>
      </c>
      <c r="D14" s="124" t="s">
        <v>327</v>
      </c>
      <c r="E14" s="124"/>
      <c r="F14" s="124"/>
      <c r="G14" s="125"/>
      <c r="I14" s="118"/>
      <c r="K14" s="126"/>
      <c r="L14" s="112"/>
      <c r="M14" s="127"/>
      <c r="N14" s="128"/>
      <c r="O14" s="58"/>
      <c r="T14" s="60"/>
      <c r="U14" s="60"/>
      <c r="W14" s="1975"/>
    </row>
    <row r="15" spans="2:23">
      <c r="B15" s="122" t="s">
        <v>328</v>
      </c>
      <c r="C15" s="123" t="s">
        <v>329</v>
      </c>
      <c r="D15" s="124" t="s">
        <v>330</v>
      </c>
      <c r="E15" s="124"/>
      <c r="F15" s="124"/>
      <c r="G15" s="125"/>
      <c r="I15" s="118"/>
      <c r="K15" s="126"/>
      <c r="L15" s="112"/>
      <c r="M15" s="127"/>
      <c r="N15" s="128"/>
      <c r="O15" s="58"/>
      <c r="T15" s="60"/>
      <c r="U15" s="60"/>
      <c r="W15" s="1975"/>
    </row>
    <row r="16" spans="2:23">
      <c r="B16" s="122" t="s">
        <v>331</v>
      </c>
      <c r="C16" s="123" t="s">
        <v>332</v>
      </c>
      <c r="D16" s="124" t="s">
        <v>333</v>
      </c>
      <c r="E16" s="124"/>
      <c r="F16" s="124"/>
      <c r="G16" s="125"/>
      <c r="I16" s="118"/>
      <c r="K16" s="126"/>
      <c r="L16" s="112"/>
      <c r="M16" s="127"/>
      <c r="N16" s="128"/>
      <c r="O16" s="58"/>
      <c r="T16" s="60"/>
      <c r="U16" s="60"/>
      <c r="W16" s="1975"/>
    </row>
    <row r="17" spans="2:23">
      <c r="B17" s="122" t="s">
        <v>334</v>
      </c>
      <c r="C17" s="123" t="s">
        <v>335</v>
      </c>
      <c r="D17" s="124" t="s">
        <v>336</v>
      </c>
      <c r="E17" s="124"/>
      <c r="F17" s="124"/>
      <c r="G17" s="125"/>
      <c r="I17" s="118"/>
      <c r="K17" s="126"/>
      <c r="L17" s="112"/>
      <c r="M17" s="127"/>
      <c r="N17" s="128"/>
      <c r="O17" s="58"/>
      <c r="T17" s="60"/>
      <c r="U17" s="60"/>
      <c r="W17" s="1975"/>
    </row>
    <row r="18" spans="2:23">
      <c r="B18" s="122" t="s">
        <v>337</v>
      </c>
      <c r="C18" s="123" t="s">
        <v>338</v>
      </c>
      <c r="D18" s="124" t="s">
        <v>339</v>
      </c>
      <c r="E18" s="124"/>
      <c r="F18" s="124"/>
      <c r="G18" s="125"/>
      <c r="I18" s="118"/>
      <c r="K18" s="126"/>
      <c r="L18" s="112"/>
      <c r="M18" s="127"/>
      <c r="N18" s="128"/>
      <c r="O18" s="58"/>
      <c r="T18" s="60"/>
      <c r="U18" s="60"/>
      <c r="W18" s="1975"/>
    </row>
    <row r="19" spans="2:23">
      <c r="B19" s="122" t="s">
        <v>340</v>
      </c>
      <c r="C19" s="123" t="s">
        <v>341</v>
      </c>
      <c r="D19" s="124" t="s">
        <v>342</v>
      </c>
      <c r="E19" s="124"/>
      <c r="F19" s="124"/>
      <c r="G19" s="125"/>
      <c r="I19" s="118"/>
      <c r="K19" s="126"/>
      <c r="L19" s="112"/>
      <c r="M19" s="127"/>
      <c r="N19" s="128"/>
      <c r="O19" s="58"/>
      <c r="T19" s="60"/>
      <c r="U19" s="60"/>
      <c r="W19" s="1975"/>
    </row>
    <row r="20" spans="2:23" ht="14.25" customHeight="1">
      <c r="B20" s="122" t="s">
        <v>343</v>
      </c>
      <c r="C20" s="1976" t="s">
        <v>344</v>
      </c>
      <c r="D20" s="1977"/>
      <c r="E20" s="1977"/>
      <c r="F20" s="1977"/>
      <c r="G20" s="1978"/>
      <c r="I20" s="118"/>
      <c r="K20" s="1967"/>
      <c r="L20" s="1981"/>
      <c r="M20" s="1981"/>
      <c r="N20" s="1973"/>
      <c r="O20" s="58"/>
      <c r="T20" s="60"/>
      <c r="U20" s="60"/>
      <c r="W20" s="1975"/>
    </row>
    <row r="21" spans="2:23">
      <c r="B21" s="129"/>
      <c r="C21" s="1976"/>
      <c r="D21" s="1977"/>
      <c r="E21" s="1977"/>
      <c r="F21" s="1977"/>
      <c r="G21" s="1978"/>
      <c r="I21" s="118"/>
      <c r="K21" s="1979"/>
      <c r="L21" s="1982"/>
      <c r="M21" s="1982"/>
      <c r="N21" s="1984"/>
      <c r="O21" s="58"/>
      <c r="T21" s="60"/>
      <c r="U21" s="60"/>
      <c r="W21" s="1975"/>
    </row>
    <row r="22" spans="2:23">
      <c r="B22" s="129"/>
      <c r="C22" s="1976"/>
      <c r="D22" s="1977"/>
      <c r="E22" s="1977"/>
      <c r="F22" s="1977"/>
      <c r="G22" s="1978"/>
      <c r="I22" s="118"/>
      <c r="K22" s="1979"/>
      <c r="L22" s="1982"/>
      <c r="M22" s="1982"/>
      <c r="N22" s="1984"/>
      <c r="O22" s="58"/>
      <c r="T22" s="60"/>
      <c r="U22" s="60"/>
      <c r="W22" s="1975"/>
    </row>
    <row r="23" spans="2:23">
      <c r="B23" s="129"/>
      <c r="C23" s="1976"/>
      <c r="D23" s="1977"/>
      <c r="E23" s="1977"/>
      <c r="F23" s="1977"/>
      <c r="G23" s="1978"/>
      <c r="I23" s="118"/>
      <c r="K23" s="1980"/>
      <c r="L23" s="1983"/>
      <c r="M23" s="1983"/>
      <c r="N23" s="1985"/>
      <c r="O23" s="58"/>
      <c r="T23" s="60"/>
      <c r="U23" s="60"/>
      <c r="W23" s="1975"/>
    </row>
    <row r="24" spans="2:23">
      <c r="B24" s="131" t="s">
        <v>345</v>
      </c>
      <c r="C24" s="1964" t="s">
        <v>588</v>
      </c>
      <c r="D24" s="1965"/>
      <c r="E24" s="1965"/>
      <c r="F24" s="1965"/>
      <c r="G24" s="1966"/>
      <c r="I24" s="118"/>
      <c r="K24" s="1967"/>
      <c r="L24" s="1969"/>
      <c r="M24" s="1971"/>
      <c r="N24" s="1973"/>
      <c r="O24" s="58"/>
      <c r="T24" s="60"/>
      <c r="U24" s="60"/>
      <c r="W24" s="1975"/>
    </row>
    <row r="25" spans="2:23" ht="15.75" thickBot="1">
      <c r="B25" s="132"/>
      <c r="C25" s="1964"/>
      <c r="D25" s="1965"/>
      <c r="E25" s="1965"/>
      <c r="F25" s="1965"/>
      <c r="G25" s="1966"/>
      <c r="I25" s="118"/>
      <c r="K25" s="1968"/>
      <c r="L25" s="1970"/>
      <c r="M25" s="1972"/>
      <c r="N25" s="1974"/>
      <c r="O25" s="63"/>
      <c r="P25" s="64"/>
      <c r="Q25" s="64"/>
      <c r="R25" s="64"/>
      <c r="S25" s="64"/>
      <c r="T25" s="65"/>
      <c r="U25" s="60"/>
      <c r="W25" s="1975"/>
    </row>
    <row r="26" spans="2:23" ht="15.75" thickBot="1">
      <c r="B26" s="133"/>
      <c r="C26" s="134"/>
      <c r="D26" s="134"/>
      <c r="E26" s="134"/>
      <c r="F26" s="134"/>
      <c r="G26" s="134"/>
      <c r="H26" s="64"/>
      <c r="I26" s="135"/>
      <c r="J26" s="64"/>
      <c r="K26" s="136"/>
      <c r="L26" s="137"/>
      <c r="M26" s="137"/>
      <c r="N26" s="138"/>
      <c r="O26" s="64"/>
      <c r="P26" s="64"/>
      <c r="Q26" s="64"/>
      <c r="R26" s="64"/>
      <c r="S26" s="64"/>
      <c r="T26" s="64"/>
      <c r="U26" s="65"/>
      <c r="W26" s="1975"/>
    </row>
    <row r="27" spans="2:23">
      <c r="B27" s="139"/>
      <c r="C27" s="140"/>
      <c r="D27" s="140"/>
      <c r="E27" s="140"/>
      <c r="F27" s="140"/>
      <c r="G27" s="140"/>
      <c r="K27" s="141"/>
      <c r="L27" s="142"/>
      <c r="M27" s="142"/>
      <c r="N27" s="143"/>
      <c r="W27" s="1975"/>
    </row>
    <row r="28" spans="2:23">
      <c r="B28" s="139"/>
      <c r="C28" s="140"/>
      <c r="D28" s="140"/>
      <c r="E28" s="140"/>
      <c r="F28" s="140"/>
      <c r="G28" s="140"/>
      <c r="K28" s="141"/>
      <c r="L28" s="142"/>
      <c r="M28" s="142"/>
      <c r="N28" s="143"/>
      <c r="W28" s="1975"/>
    </row>
    <row r="29" spans="2:23">
      <c r="B29" s="139"/>
      <c r="C29" s="140"/>
      <c r="D29" s="140"/>
      <c r="E29" s="140"/>
      <c r="F29" s="140"/>
      <c r="G29" s="140"/>
      <c r="K29" s="141"/>
      <c r="L29" s="142"/>
      <c r="M29" s="142"/>
      <c r="N29" s="143"/>
      <c r="W29" s="1975"/>
    </row>
    <row r="30" spans="2:23">
      <c r="B30" s="139"/>
      <c r="C30" s="140"/>
      <c r="D30" s="140"/>
      <c r="E30" s="140"/>
      <c r="F30" s="140"/>
      <c r="G30" s="140"/>
      <c r="K30" s="141"/>
      <c r="L30" s="142"/>
      <c r="M30" s="142"/>
      <c r="N30" s="143"/>
      <c r="W30" s="1975"/>
    </row>
    <row r="31" spans="2:23">
      <c r="B31" s="139"/>
      <c r="C31" s="140"/>
      <c r="D31" s="140"/>
      <c r="E31" s="140"/>
      <c r="F31" s="140"/>
      <c r="G31" s="140"/>
      <c r="K31" s="141"/>
      <c r="L31" s="142"/>
      <c r="M31" s="142"/>
      <c r="N31" s="143"/>
      <c r="W31" s="1975"/>
    </row>
    <row r="32" spans="2:23">
      <c r="B32" s="139"/>
      <c r="C32" s="140"/>
      <c r="D32" s="140"/>
      <c r="E32" s="140"/>
      <c r="F32" s="140"/>
      <c r="G32" s="140"/>
      <c r="K32" s="141"/>
      <c r="L32" s="142"/>
      <c r="M32" s="142"/>
      <c r="N32" s="143"/>
      <c r="W32" s="1975"/>
    </row>
    <row r="33" spans="1:23">
      <c r="B33" s="139"/>
      <c r="C33" s="140"/>
      <c r="D33" s="140"/>
      <c r="E33" s="140"/>
      <c r="F33" s="140"/>
      <c r="G33" s="140"/>
      <c r="K33" s="141"/>
      <c r="L33" s="142"/>
      <c r="M33" s="142"/>
      <c r="N33" s="143"/>
      <c r="W33" s="1975"/>
    </row>
    <row r="34" spans="1:23">
      <c r="B34" s="139"/>
      <c r="C34" s="140"/>
      <c r="D34" s="140"/>
      <c r="E34" s="140"/>
      <c r="F34" s="140"/>
      <c r="G34" s="140"/>
      <c r="K34" s="141"/>
      <c r="L34" s="142"/>
      <c r="M34" s="142"/>
      <c r="N34" s="143"/>
      <c r="W34" s="1975"/>
    </row>
    <row r="35" spans="1:23">
      <c r="B35" s="139"/>
      <c r="C35" s="140"/>
      <c r="D35" s="140"/>
      <c r="E35" s="140"/>
      <c r="F35" s="140"/>
      <c r="G35" s="140"/>
      <c r="K35" s="141"/>
      <c r="L35" s="142"/>
      <c r="M35" s="142"/>
      <c r="N35" s="143"/>
      <c r="W35" s="1975"/>
    </row>
    <row r="36" spans="1:23">
      <c r="B36" s="139"/>
      <c r="C36" s="140"/>
      <c r="D36" s="140"/>
      <c r="E36" s="140"/>
      <c r="F36" s="140"/>
      <c r="G36" s="140"/>
      <c r="K36" s="141"/>
      <c r="L36" s="142"/>
      <c r="M36" s="142"/>
      <c r="N36" s="143"/>
      <c r="W36" s="1975"/>
    </row>
    <row r="37" spans="1:23">
      <c r="A37" s="1957" t="s">
        <v>346</v>
      </c>
      <c r="C37" s="140"/>
      <c r="D37" s="140"/>
      <c r="E37" s="140"/>
      <c r="F37" s="140"/>
      <c r="G37" s="140"/>
      <c r="K37" s="141"/>
      <c r="L37" s="142"/>
      <c r="M37" s="142"/>
      <c r="N37" s="143"/>
      <c r="W37" s="1975"/>
    </row>
    <row r="38" spans="1:23">
      <c r="A38" s="1957"/>
      <c r="C38" s="140"/>
      <c r="D38" s="140"/>
      <c r="E38" s="140"/>
      <c r="F38" s="140"/>
      <c r="G38" s="140"/>
      <c r="K38" s="141"/>
      <c r="L38" s="142"/>
      <c r="M38" s="142"/>
      <c r="N38" s="143"/>
      <c r="W38" s="1975"/>
    </row>
    <row r="39" spans="1:23">
      <c r="A39" s="1957"/>
      <c r="W39" s="1975"/>
    </row>
  </sheetData>
  <mergeCells count="16">
    <mergeCell ref="W11:W39"/>
    <mergeCell ref="C20:G23"/>
    <mergeCell ref="K20:K23"/>
    <mergeCell ref="L20:L23"/>
    <mergeCell ref="M20:M23"/>
    <mergeCell ref="N20:N23"/>
    <mergeCell ref="A37:A39"/>
    <mergeCell ref="K5:L5"/>
    <mergeCell ref="M5:N5"/>
    <mergeCell ref="O5:P6"/>
    <mergeCell ref="C6:G6"/>
    <mergeCell ref="C24:G25"/>
    <mergeCell ref="K24:K25"/>
    <mergeCell ref="L24:L25"/>
    <mergeCell ref="M24:M25"/>
    <mergeCell ref="N24:N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82"/>
  <sheetViews>
    <sheetView topLeftCell="D27" zoomScale="85" zoomScaleNormal="85" workbookViewId="0">
      <selection activeCell="H22" sqref="H22"/>
    </sheetView>
  </sheetViews>
  <sheetFormatPr defaultColWidth="8.85546875" defaultRowHeight="15"/>
  <cols>
    <col min="1" max="1" width="23.28515625" style="149" customWidth="1"/>
    <col min="2" max="2" width="19" style="149" customWidth="1"/>
    <col min="3" max="3" width="17.28515625" style="149" customWidth="1"/>
    <col min="4" max="4" width="14.140625" style="149" bestFit="1" customWidth="1"/>
    <col min="5" max="5" width="11.85546875" style="149" customWidth="1"/>
    <col min="6" max="6" width="13.5703125" style="149" customWidth="1"/>
    <col min="7" max="7" width="15.85546875" style="149" customWidth="1"/>
    <col min="8" max="8" width="15" style="149" customWidth="1"/>
    <col min="9" max="9" width="16.5703125" style="149" customWidth="1"/>
    <col min="10" max="10" width="14.5703125" style="149" customWidth="1"/>
    <col min="11" max="11" width="15.28515625" style="149" customWidth="1"/>
    <col min="12" max="12" width="21.42578125" style="149" customWidth="1"/>
    <col min="13" max="13" width="13.28515625" style="149" customWidth="1"/>
    <col min="14" max="14" width="9.7109375" style="149" customWidth="1"/>
    <col min="15" max="15" width="15.85546875" style="298" customWidth="1"/>
    <col min="16" max="16" width="13" style="298" customWidth="1"/>
    <col min="17" max="26" width="14.85546875" style="149" customWidth="1"/>
    <col min="27" max="16384" width="8.85546875" style="149"/>
  </cols>
  <sheetData>
    <row r="1" spans="3:26">
      <c r="L1" s="365"/>
    </row>
    <row r="2" spans="3:26">
      <c r="L2" s="1987" t="s">
        <v>378</v>
      </c>
      <c r="M2" s="1987"/>
      <c r="N2" s="1987"/>
      <c r="O2" s="299"/>
      <c r="P2" s="299"/>
    </row>
    <row r="3" spans="3:26" ht="14.45" customHeight="1">
      <c r="C3" s="173" t="s">
        <v>369</v>
      </c>
      <c r="D3" s="215"/>
      <c r="E3" s="216"/>
      <c r="F3" s="1988" t="s">
        <v>168</v>
      </c>
      <c r="G3" s="1990"/>
      <c r="H3" s="1988" t="s">
        <v>169</v>
      </c>
      <c r="I3" s="1989"/>
      <c r="J3" s="1986" t="s">
        <v>170</v>
      </c>
      <c r="K3" s="1986"/>
      <c r="L3" s="207" t="s">
        <v>369</v>
      </c>
      <c r="M3" s="208"/>
      <c r="N3" s="208"/>
      <c r="O3" s="1986" t="s">
        <v>377</v>
      </c>
      <c r="P3" s="1986"/>
      <c r="Q3" s="1986" t="s">
        <v>91</v>
      </c>
      <c r="R3" s="1986"/>
      <c r="S3" s="1986" t="s">
        <v>92</v>
      </c>
      <c r="T3" s="1986"/>
      <c r="U3" s="1986" t="s">
        <v>93</v>
      </c>
      <c r="V3" s="1986"/>
      <c r="W3" s="1986" t="s">
        <v>94</v>
      </c>
      <c r="X3" s="1986"/>
      <c r="Y3" s="1986" t="s">
        <v>95</v>
      </c>
      <c r="Z3" s="1986"/>
    </row>
    <row r="4" spans="3:26" ht="30">
      <c r="C4" s="175" t="s">
        <v>370</v>
      </c>
      <c r="D4" s="176" t="s">
        <v>371</v>
      </c>
      <c r="E4" s="177" t="s">
        <v>372</v>
      </c>
      <c r="F4" s="176" t="s">
        <v>192</v>
      </c>
      <c r="G4" s="176" t="s">
        <v>373</v>
      </c>
      <c r="H4" s="176" t="s">
        <v>192</v>
      </c>
      <c r="I4" s="176" t="s">
        <v>373</v>
      </c>
      <c r="J4" s="176" t="s">
        <v>192</v>
      </c>
      <c r="K4" s="176" t="s">
        <v>373</v>
      </c>
      <c r="L4" s="174" t="s">
        <v>370</v>
      </c>
      <c r="M4" s="178" t="s">
        <v>371</v>
      </c>
      <c r="N4" s="179" t="s">
        <v>372</v>
      </c>
      <c r="O4" s="292" t="s">
        <v>192</v>
      </c>
      <c r="P4" s="292" t="s">
        <v>373</v>
      </c>
      <c r="Q4" s="176" t="s">
        <v>192</v>
      </c>
      <c r="R4" s="176" t="s">
        <v>373</v>
      </c>
      <c r="S4" s="176" t="s">
        <v>192</v>
      </c>
      <c r="T4" s="176" t="s">
        <v>373</v>
      </c>
      <c r="U4" s="176" t="s">
        <v>192</v>
      </c>
      <c r="V4" s="176" t="s">
        <v>373</v>
      </c>
      <c r="W4" s="176" t="s">
        <v>192</v>
      </c>
      <c r="X4" s="176" t="s">
        <v>373</v>
      </c>
      <c r="Y4" s="176" t="s">
        <v>192</v>
      </c>
      <c r="Z4" s="176" t="s">
        <v>373</v>
      </c>
    </row>
    <row r="5" spans="3:26">
      <c r="C5" s="180" t="s">
        <v>10</v>
      </c>
      <c r="D5" s="176"/>
      <c r="E5" s="1736"/>
      <c r="F5" s="217">
        <f>B56</f>
        <v>19546</v>
      </c>
      <c r="G5" s="217">
        <f>B46</f>
        <v>2166857</v>
      </c>
      <c r="H5" s="217">
        <f>C56</f>
        <v>20018</v>
      </c>
      <c r="I5" s="217">
        <f>C46</f>
        <v>2332393</v>
      </c>
      <c r="J5" s="217">
        <f>D56</f>
        <v>20506</v>
      </c>
      <c r="K5" s="217">
        <f>D46</f>
        <v>2332393</v>
      </c>
      <c r="L5" s="181" t="s">
        <v>10</v>
      </c>
      <c r="M5" s="181"/>
      <c r="N5" s="1738"/>
      <c r="O5" s="217">
        <f>E56</f>
        <v>20915.574917717255</v>
      </c>
      <c r="P5" s="217">
        <f>E46</f>
        <v>2412560</v>
      </c>
      <c r="Q5" s="217">
        <f>F77</f>
        <v>21333.8864160716</v>
      </c>
      <c r="R5" s="217">
        <f>F67</f>
        <v>3098619.1171389725</v>
      </c>
      <c r="S5" s="217">
        <f>G77</f>
        <v>21760.564144393033</v>
      </c>
      <c r="T5" s="217">
        <f>G67</f>
        <v>3098619.1171389725</v>
      </c>
      <c r="U5" s="217">
        <f>H77</f>
        <v>22195.775427280892</v>
      </c>
      <c r="V5" s="217">
        <f>H67</f>
        <v>3144867.1636634348</v>
      </c>
      <c r="W5" s="217">
        <f>I77</f>
        <v>22639.690935826511</v>
      </c>
      <c r="X5" s="217">
        <f>I67</f>
        <v>3191115.2101878971</v>
      </c>
      <c r="Y5" s="217">
        <f>J77</f>
        <v>23092.484754543042</v>
      </c>
      <c r="Z5" s="217">
        <f>J67</f>
        <v>3237363.2567123598</v>
      </c>
    </row>
    <row r="6" spans="3:26">
      <c r="C6" s="177" t="str">
        <f>'KACWASCO tariff bands'!B6</f>
        <v xml:space="preserve">0-6m3 </v>
      </c>
      <c r="D6" s="182">
        <f>'KACWASCO tariff bands'!C6</f>
        <v>0.1</v>
      </c>
      <c r="E6" s="1737">
        <f>'KACWASCO tariff bands'!D6</f>
        <v>0.44</v>
      </c>
      <c r="F6" s="218">
        <f>D6*$F$5</f>
        <v>1954.6000000000001</v>
      </c>
      <c r="G6" s="170">
        <f t="shared" ref="G6:G11" si="0">E6*$G$5</f>
        <v>953417.08</v>
      </c>
      <c r="H6" s="218">
        <f t="shared" ref="H6:H11" si="1">D6*$H$5</f>
        <v>2001.8000000000002</v>
      </c>
      <c r="I6" s="170">
        <f t="shared" ref="I6:I11" si="2">E6*$I$5</f>
        <v>1026252.92</v>
      </c>
      <c r="J6" s="218">
        <f t="shared" ref="J6:J11" si="3">D6*$J$5</f>
        <v>2050.6</v>
      </c>
      <c r="K6" s="170">
        <f>E6*$K$5</f>
        <v>1026252.92</v>
      </c>
      <c r="L6" s="179" t="str">
        <f>'KACWASCO tariff bands'!E6</f>
        <v xml:space="preserve">1-6m3 </v>
      </c>
      <c r="M6" s="188">
        <f>'KACWASCO tariff bands'!F6</f>
        <v>0.1</v>
      </c>
      <c r="N6" s="1740">
        <f>'NEW CONSUMPTIONS PATTERN'!K4/100</f>
        <v>0.4302388318041796</v>
      </c>
      <c r="O6" s="218">
        <f t="shared" ref="O6:O11" si="4">O$5*$D6</f>
        <v>2091.5574917717254</v>
      </c>
      <c r="P6" s="218">
        <f t="shared" ref="P6:P11" si="5">P$5*$E6</f>
        <v>1061526.3999999999</v>
      </c>
      <c r="Q6" s="218">
        <f t="shared" ref="Q6:Q11" si="6">Q$5*$M6</f>
        <v>2133.38864160716</v>
      </c>
      <c r="R6" s="218">
        <f>R$5*$N6</f>
        <v>1333146.2691639699</v>
      </c>
      <c r="S6" s="218">
        <f t="shared" ref="S6:S11" si="7">S$5*$M6</f>
        <v>2176.0564144393034</v>
      </c>
      <c r="T6" s="218">
        <f>T$5*$N6</f>
        <v>1333146.2691639699</v>
      </c>
      <c r="U6" s="218">
        <f t="shared" ref="U6:U11" si="8">U$5*$M6</f>
        <v>2219.5775427280892</v>
      </c>
      <c r="V6" s="218">
        <f>V$5*$N6</f>
        <v>1353043.9746738798</v>
      </c>
      <c r="W6" s="218">
        <f t="shared" ref="W6:W11" si="9">W$5*$M6</f>
        <v>2263.9690935826511</v>
      </c>
      <c r="X6" s="218">
        <f>X$5*$N6</f>
        <v>1372941.6801837899</v>
      </c>
      <c r="Y6" s="218">
        <f t="shared" ref="Y6:Y11" si="10">Y$5*$M6</f>
        <v>2309.2484754543043</v>
      </c>
      <c r="Z6" s="218">
        <f>Z$5*$N6</f>
        <v>1392839.3856937001</v>
      </c>
    </row>
    <row r="7" spans="3:26">
      <c r="C7" s="177" t="str">
        <f>'KACWASCO tariff bands'!B7</f>
        <v xml:space="preserve">7-20m3 </v>
      </c>
      <c r="D7" s="182">
        <f>'KACWASCO tariff bands'!C7</f>
        <v>0.61</v>
      </c>
      <c r="E7" s="1737">
        <f>'KACWASCO tariff bands'!D7</f>
        <v>0.47</v>
      </c>
      <c r="F7" s="218">
        <f t="shared" ref="F7:F11" si="11">D7*$F$5</f>
        <v>11923.06</v>
      </c>
      <c r="G7" s="170">
        <f t="shared" si="0"/>
        <v>1018422.7899999999</v>
      </c>
      <c r="H7" s="218">
        <f t="shared" si="1"/>
        <v>12210.98</v>
      </c>
      <c r="I7" s="170">
        <f t="shared" si="2"/>
        <v>1096224.71</v>
      </c>
      <c r="J7" s="218">
        <f t="shared" si="3"/>
        <v>12508.66</v>
      </c>
      <c r="K7" s="170">
        <f t="shared" ref="K7:K11" si="12">E7*$K$5</f>
        <v>1096224.71</v>
      </c>
      <c r="L7" s="179" t="str">
        <f>'KACWASCO tariff bands'!E7</f>
        <v xml:space="preserve">7-20m3 </v>
      </c>
      <c r="M7" s="188">
        <f>'KACWASCO tariff bands'!F7</f>
        <v>0.61</v>
      </c>
      <c r="N7" s="1740">
        <f>'NEW CONSUMPTIONS PATTERN'!K5/100</f>
        <v>0.47240227824580616</v>
      </c>
      <c r="O7" s="218">
        <f t="shared" si="4"/>
        <v>12758.500699807526</v>
      </c>
      <c r="P7" s="218">
        <f>P$5*$E7</f>
        <v>1133903.2</v>
      </c>
      <c r="Q7" s="218">
        <f t="shared" si="6"/>
        <v>13013.670713803676</v>
      </c>
      <c r="R7" s="218">
        <f t="shared" ref="R7:Z11" si="13">R$5*$N7</f>
        <v>1463794.7303524592</v>
      </c>
      <c r="S7" s="218">
        <f t="shared" si="7"/>
        <v>13273.944128079749</v>
      </c>
      <c r="T7" s="218">
        <f>T$5*$N7</f>
        <v>1463794.7303524592</v>
      </c>
      <c r="U7" s="218">
        <f t="shared" si="8"/>
        <v>13539.423010641343</v>
      </c>
      <c r="V7" s="218">
        <f t="shared" si="13"/>
        <v>1485642.4128950331</v>
      </c>
      <c r="W7" s="218">
        <f t="shared" si="9"/>
        <v>13810.211470854172</v>
      </c>
      <c r="X7" s="218">
        <f t="shared" si="13"/>
        <v>1507490.0954376073</v>
      </c>
      <c r="Y7" s="218">
        <f t="shared" si="10"/>
        <v>14086.415700271255</v>
      </c>
      <c r="Z7" s="218">
        <f t="shared" si="13"/>
        <v>1529337.7779801814</v>
      </c>
    </row>
    <row r="8" spans="3:26">
      <c r="C8" s="177" t="str">
        <f>'KACWASCO tariff bands'!B8</f>
        <v xml:space="preserve">21-50m3 </v>
      </c>
      <c r="D8" s="182">
        <f>'KACWASCO tariff bands'!C8</f>
        <v>0.17</v>
      </c>
      <c r="E8" s="1737">
        <f>'KACWASCO tariff bands'!D8</f>
        <v>0.05</v>
      </c>
      <c r="F8" s="218">
        <f t="shared" si="11"/>
        <v>3322.82</v>
      </c>
      <c r="G8" s="170">
        <f t="shared" si="0"/>
        <v>108342.85</v>
      </c>
      <c r="H8" s="218">
        <f t="shared" si="1"/>
        <v>3403.0600000000004</v>
      </c>
      <c r="I8" s="170">
        <f t="shared" si="2"/>
        <v>116619.65000000001</v>
      </c>
      <c r="J8" s="218">
        <f t="shared" si="3"/>
        <v>3486.0200000000004</v>
      </c>
      <c r="K8" s="170">
        <f t="shared" si="12"/>
        <v>116619.65000000001</v>
      </c>
      <c r="L8" s="179" t="str">
        <f>'KACWASCO tariff bands'!E8</f>
        <v xml:space="preserve">21-50m3 </v>
      </c>
      <c r="M8" s="188">
        <f>'KACWASCO tariff bands'!F8</f>
        <v>0.17</v>
      </c>
      <c r="N8" s="1740">
        <f>'NEW CONSUMPTIONS PATTERN'!K6/100</f>
        <v>7.7268880864985706E-2</v>
      </c>
      <c r="O8" s="218">
        <f t="shared" si="4"/>
        <v>3555.6477360119334</v>
      </c>
      <c r="P8" s="218">
        <f t="shared" si="5"/>
        <v>120628</v>
      </c>
      <c r="Q8" s="218">
        <f t="shared" si="6"/>
        <v>3626.7606907321724</v>
      </c>
      <c r="R8" s="218">
        <f t="shared" si="13"/>
        <v>239426.83140817846</v>
      </c>
      <c r="S8" s="218">
        <f t="shared" si="7"/>
        <v>3699.295904546816</v>
      </c>
      <c r="T8" s="218">
        <f t="shared" si="13"/>
        <v>239426.83140817846</v>
      </c>
      <c r="U8" s="218">
        <f t="shared" si="8"/>
        <v>3773.2818226377522</v>
      </c>
      <c r="V8" s="218">
        <f t="shared" si="13"/>
        <v>243000.36620531545</v>
      </c>
      <c r="W8" s="218">
        <f t="shared" si="9"/>
        <v>3848.7474590905072</v>
      </c>
      <c r="X8" s="218">
        <f t="shared" si="13"/>
        <v>246573.90100245245</v>
      </c>
      <c r="Y8" s="218">
        <f t="shared" si="10"/>
        <v>3925.7224082723174</v>
      </c>
      <c r="Z8" s="218">
        <f t="shared" si="13"/>
        <v>250147.43579958947</v>
      </c>
    </row>
    <row r="9" spans="3:26">
      <c r="C9" s="177" t="str">
        <f>'KACWASCO tariff bands'!B9</f>
        <v xml:space="preserve">51-100m3 </v>
      </c>
      <c r="D9" s="182">
        <f>'KACWASCO tariff bands'!C9</f>
        <v>7.0000000000000007E-2</v>
      </c>
      <c r="E9" s="1737">
        <f>'KACWASCO tariff bands'!D9</f>
        <v>0.02</v>
      </c>
      <c r="F9" s="218">
        <f t="shared" si="11"/>
        <v>1368.22</v>
      </c>
      <c r="G9" s="170">
        <f t="shared" si="0"/>
        <v>43337.14</v>
      </c>
      <c r="H9" s="218">
        <f t="shared" si="1"/>
        <v>1401.2600000000002</v>
      </c>
      <c r="I9" s="170">
        <f t="shared" si="2"/>
        <v>46647.86</v>
      </c>
      <c r="J9" s="218">
        <f t="shared" si="3"/>
        <v>1435.42</v>
      </c>
      <c r="K9" s="170">
        <f t="shared" si="12"/>
        <v>46647.86</v>
      </c>
      <c r="L9" s="179" t="str">
        <f>'KACWASCO tariff bands'!E9</f>
        <v xml:space="preserve">51-100m3 </v>
      </c>
      <c r="M9" s="188">
        <f>'KACWASCO tariff bands'!F9</f>
        <v>7.0000000000000007E-2</v>
      </c>
      <c r="N9" s="1740">
        <f>'NEW CONSUMPTIONS PATTERN'!K7/100</f>
        <v>1.360667421356633E-2</v>
      </c>
      <c r="O9" s="218">
        <f t="shared" si="4"/>
        <v>1464.090244240208</v>
      </c>
      <c r="P9" s="218">
        <f t="shared" si="5"/>
        <v>48251.200000000004</v>
      </c>
      <c r="Q9" s="218">
        <f t="shared" si="6"/>
        <v>1493.3720491250122</v>
      </c>
      <c r="R9" s="218">
        <f t="shared" si="13"/>
        <v>42161.900838838526</v>
      </c>
      <c r="S9" s="218">
        <f t="shared" si="7"/>
        <v>1523.2394901075124</v>
      </c>
      <c r="T9" s="218">
        <f t="shared" si="13"/>
        <v>42161.900838838526</v>
      </c>
      <c r="U9" s="218">
        <f t="shared" si="8"/>
        <v>1553.7042799096625</v>
      </c>
      <c r="V9" s="218">
        <f t="shared" si="13"/>
        <v>42791.182940910745</v>
      </c>
      <c r="W9" s="218">
        <f t="shared" si="9"/>
        <v>1584.7783655078558</v>
      </c>
      <c r="X9" s="218">
        <f t="shared" si="13"/>
        <v>43420.465042982963</v>
      </c>
      <c r="Y9" s="218">
        <f t="shared" si="10"/>
        <v>1616.4739328180131</v>
      </c>
      <c r="Z9" s="218">
        <f t="shared" si="13"/>
        <v>44049.747145055182</v>
      </c>
    </row>
    <row r="10" spans="3:26">
      <c r="C10" s="177" t="str">
        <f>'KACWASCO tariff bands'!B10</f>
        <v xml:space="preserve">101-300m3 </v>
      </c>
      <c r="D10" s="182">
        <f>'KACWASCO tariff bands'!C10</f>
        <v>0.03</v>
      </c>
      <c r="E10" s="1737">
        <f>'KACWASCO tariff bands'!D10</f>
        <v>0.01</v>
      </c>
      <c r="F10" s="218">
        <f t="shared" si="11"/>
        <v>586.38</v>
      </c>
      <c r="G10" s="289">
        <f t="shared" si="0"/>
        <v>21668.57</v>
      </c>
      <c r="H10" s="218">
        <f t="shared" si="1"/>
        <v>600.54</v>
      </c>
      <c r="I10" s="170">
        <f t="shared" si="2"/>
        <v>23323.93</v>
      </c>
      <c r="J10" s="218">
        <f t="shared" si="3"/>
        <v>615.17999999999995</v>
      </c>
      <c r="K10" s="170">
        <f t="shared" si="12"/>
        <v>23323.93</v>
      </c>
      <c r="L10" s="179" t="str">
        <f>'KACWASCO tariff bands'!E10</f>
        <v xml:space="preserve">101-300m3 </v>
      </c>
      <c r="M10" s="188">
        <f>'KACWASCO tariff bands'!F10</f>
        <v>0.03</v>
      </c>
      <c r="N10" s="1740">
        <f>'NEW CONSUMPTIONS PATTERN'!K8/100</f>
        <v>5.598530987404351E-3</v>
      </c>
      <c r="O10" s="218">
        <f t="shared" si="4"/>
        <v>627.46724753151761</v>
      </c>
      <c r="P10" s="218">
        <f t="shared" si="5"/>
        <v>24125.600000000002</v>
      </c>
      <c r="Q10" s="218">
        <f t="shared" si="6"/>
        <v>640.01659248214798</v>
      </c>
      <c r="R10" s="218">
        <f t="shared" si="13"/>
        <v>17347.715145466049</v>
      </c>
      <c r="S10" s="218">
        <f t="shared" si="7"/>
        <v>652.81692433179091</v>
      </c>
      <c r="T10" s="218">
        <f t="shared" si="13"/>
        <v>17347.715145466049</v>
      </c>
      <c r="U10" s="218">
        <f t="shared" si="8"/>
        <v>665.87326281842672</v>
      </c>
      <c r="V10" s="218">
        <f t="shared" si="13"/>
        <v>17606.636267040169</v>
      </c>
      <c r="W10" s="218">
        <f t="shared" si="9"/>
        <v>679.19072807479529</v>
      </c>
      <c r="X10" s="218">
        <f t="shared" si="13"/>
        <v>17865.557388614292</v>
      </c>
      <c r="Y10" s="218">
        <f t="shared" si="10"/>
        <v>692.77454263629124</v>
      </c>
      <c r="Z10" s="218">
        <f t="shared" si="13"/>
        <v>18124.478510188412</v>
      </c>
    </row>
    <row r="11" spans="3:26">
      <c r="C11" s="177" t="str">
        <f>'KACWASCO tariff bands'!B11</f>
        <v>&gt;300m3</v>
      </c>
      <c r="D11" s="182">
        <f>'KACWASCO tariff bands'!C11</f>
        <v>0.02</v>
      </c>
      <c r="E11" s="1737">
        <f>'KACWASCO tariff bands'!D11</f>
        <v>0.01</v>
      </c>
      <c r="F11" s="218">
        <f t="shared" si="11"/>
        <v>390.92</v>
      </c>
      <c r="G11" s="170">
        <f t="shared" si="0"/>
        <v>21668.57</v>
      </c>
      <c r="H11" s="218">
        <f t="shared" si="1"/>
        <v>400.36</v>
      </c>
      <c r="I11" s="170">
        <f t="shared" si="2"/>
        <v>23323.93</v>
      </c>
      <c r="J11" s="218">
        <f t="shared" si="3"/>
        <v>410.12</v>
      </c>
      <c r="K11" s="170">
        <f t="shared" si="12"/>
        <v>23323.93</v>
      </c>
      <c r="L11" s="179" t="str">
        <f>'KACWASCO tariff bands'!E11</f>
        <v>&gt;300m3</v>
      </c>
      <c r="M11" s="188">
        <f>'KACWASCO tariff bands'!F11</f>
        <v>0.02</v>
      </c>
      <c r="N11" s="1740">
        <f>'NEW CONSUMPTIONS PATTERN'!K9/100</f>
        <v>8.848038840577468E-4</v>
      </c>
      <c r="O11" s="218">
        <f t="shared" si="4"/>
        <v>418.31149835434508</v>
      </c>
      <c r="P11" s="218">
        <f t="shared" si="5"/>
        <v>24125.600000000002</v>
      </c>
      <c r="Q11" s="218">
        <f t="shared" si="6"/>
        <v>426.67772832143203</v>
      </c>
      <c r="R11" s="218">
        <f t="shared" si="13"/>
        <v>2741.6702300601492</v>
      </c>
      <c r="S11" s="218">
        <f t="shared" si="7"/>
        <v>435.21128288786065</v>
      </c>
      <c r="T11" s="218">
        <f t="shared" si="13"/>
        <v>2741.6702300601492</v>
      </c>
      <c r="U11" s="218">
        <f t="shared" si="8"/>
        <v>443.91550854561785</v>
      </c>
      <c r="V11" s="218">
        <f t="shared" si="13"/>
        <v>2782.590681255077</v>
      </c>
      <c r="W11" s="218">
        <f t="shared" si="9"/>
        <v>452.79381871653021</v>
      </c>
      <c r="X11" s="218">
        <f t="shared" si="13"/>
        <v>2823.5111324500044</v>
      </c>
      <c r="Y11" s="218">
        <f t="shared" si="10"/>
        <v>461.84969509086085</v>
      </c>
      <c r="Z11" s="218">
        <f t="shared" si="13"/>
        <v>2864.4315836449323</v>
      </c>
    </row>
    <row r="12" spans="3:26" ht="30">
      <c r="C12" s="184" t="s">
        <v>370</v>
      </c>
      <c r="D12" s="177" t="s">
        <v>371</v>
      </c>
      <c r="E12" s="177" t="s">
        <v>372</v>
      </c>
      <c r="F12" s="176" t="s">
        <v>192</v>
      </c>
      <c r="G12" s="176" t="s">
        <v>373</v>
      </c>
      <c r="H12" s="176" t="s">
        <v>192</v>
      </c>
      <c r="I12" s="176" t="s">
        <v>373</v>
      </c>
      <c r="J12" s="176" t="s">
        <v>192</v>
      </c>
      <c r="K12" s="176" t="s">
        <v>373</v>
      </c>
      <c r="L12" s="209" t="s">
        <v>370</v>
      </c>
      <c r="M12" s="178" t="s">
        <v>371</v>
      </c>
      <c r="N12" s="179" t="s">
        <v>372</v>
      </c>
      <c r="O12" s="300"/>
      <c r="P12" s="300"/>
      <c r="Q12" s="176" t="s">
        <v>192</v>
      </c>
      <c r="R12" s="176" t="s">
        <v>373</v>
      </c>
      <c r="S12" s="176" t="s">
        <v>192</v>
      </c>
      <c r="T12" s="176" t="s">
        <v>373</v>
      </c>
      <c r="U12" s="176" t="s">
        <v>192</v>
      </c>
      <c r="V12" s="176" t="s">
        <v>373</v>
      </c>
      <c r="W12" s="176" t="s">
        <v>192</v>
      </c>
      <c r="X12" s="176" t="s">
        <v>373</v>
      </c>
      <c r="Y12" s="176" t="s">
        <v>192</v>
      </c>
      <c r="Z12" s="176" t="s">
        <v>373</v>
      </c>
    </row>
    <row r="13" spans="3:26">
      <c r="C13" s="185" t="s">
        <v>374</v>
      </c>
      <c r="D13" s="177"/>
      <c r="E13" s="177"/>
      <c r="F13" s="217">
        <f>B57</f>
        <v>208</v>
      </c>
      <c r="G13" s="217">
        <f>B47</f>
        <v>118591</v>
      </c>
      <c r="H13" s="217">
        <f>C57</f>
        <v>213</v>
      </c>
      <c r="I13" s="217">
        <f>C47</f>
        <v>127651</v>
      </c>
      <c r="J13" s="217">
        <f>D57</f>
        <v>218</v>
      </c>
      <c r="K13" s="217">
        <f>D47</f>
        <v>127651</v>
      </c>
      <c r="L13" s="211" t="s">
        <v>374</v>
      </c>
      <c r="M13" s="212"/>
      <c r="N13" s="211"/>
      <c r="O13" s="217">
        <f>E57</f>
        <v>222.4930652678413</v>
      </c>
      <c r="P13" s="217">
        <f>E47</f>
        <v>172088</v>
      </c>
      <c r="Q13" s="217">
        <f>F78</f>
        <v>226.94292657319812</v>
      </c>
      <c r="R13" s="217">
        <f>F68</f>
        <v>182554.29523727257</v>
      </c>
      <c r="S13" s="217">
        <f>G78</f>
        <v>231.48178510466212</v>
      </c>
      <c r="T13" s="217">
        <f>G68</f>
        <v>182554.29523727257</v>
      </c>
      <c r="U13" s="217">
        <f>H78</f>
        <v>236.11142080675532</v>
      </c>
      <c r="V13" s="217">
        <f>H68</f>
        <v>185278.98621096316</v>
      </c>
      <c r="W13" s="217">
        <f>I78</f>
        <v>240.83364922289044</v>
      </c>
      <c r="X13" s="217">
        <f>I68</f>
        <v>188003.67718465382</v>
      </c>
      <c r="Y13" s="217">
        <f>J78</f>
        <v>245.65032220734827</v>
      </c>
      <c r="Z13" s="217">
        <f>J68</f>
        <v>190728.36815834447</v>
      </c>
    </row>
    <row r="14" spans="3:26">
      <c r="C14" s="177" t="str">
        <f>'KACWASCO tariff bands'!B14</f>
        <v xml:space="preserve">0-6m3 </v>
      </c>
      <c r="D14" s="187">
        <f>'KACWASCO tariff bands'!C14</f>
        <v>0.14000000000000001</v>
      </c>
      <c r="E14" s="187">
        <f>'KACWASCO tariff bands'!D14</f>
        <v>0.24</v>
      </c>
      <c r="F14" s="218">
        <f t="shared" ref="F14:F19" si="14">D14*$F$13</f>
        <v>29.120000000000005</v>
      </c>
      <c r="G14" s="170">
        <f t="shared" ref="G14:G19" si="15">E14*$G$13</f>
        <v>28461.84</v>
      </c>
      <c r="H14" s="218">
        <f t="shared" ref="H14:H19" si="16">D14*$H$13</f>
        <v>29.820000000000004</v>
      </c>
      <c r="I14" s="218">
        <f t="shared" ref="I14:I19" si="17">E14*$I$13</f>
        <v>30636.239999999998</v>
      </c>
      <c r="J14" s="218">
        <f t="shared" ref="J14:J19" si="18">D14*$J$13</f>
        <v>30.520000000000003</v>
      </c>
      <c r="K14" s="218">
        <f t="shared" ref="K14:K19" si="19">E14*$K$13</f>
        <v>30636.239999999998</v>
      </c>
      <c r="L14" s="179" t="str">
        <f>'KACWASCO tariff bands'!E14</f>
        <v xml:space="preserve">1-50m3 </v>
      </c>
      <c r="M14" s="188">
        <f>'KACWASCO tariff bands'!F14</f>
        <v>0.64</v>
      </c>
      <c r="N14" s="183">
        <f>('NEW CONSUMPTIONS PATTERN'!K13+'NEW CONSUMPTIONS PATTERN'!K14+'NEW CONSUMPTIONS PATTERN'!K15)/100</f>
        <v>0.76613002373489314</v>
      </c>
      <c r="O14" s="218">
        <f t="shared" ref="O14:O19" si="20">O$13*$D14</f>
        <v>31.149029137497784</v>
      </c>
      <c r="P14" s="218">
        <f t="shared" ref="P14:P19" si="21">P$13*$E14</f>
        <v>41301.119999999995</v>
      </c>
      <c r="Q14" s="218">
        <f>Q$13*$M14</f>
        <v>145.24347300684681</v>
      </c>
      <c r="R14" s="218">
        <f>R$13*$N14</f>
        <v>139860.32654303833</v>
      </c>
      <c r="S14" s="218">
        <f>S$13*$M14</f>
        <v>148.14834246698376</v>
      </c>
      <c r="T14" s="218">
        <f>T$13*$N14</f>
        <v>139860.32654303833</v>
      </c>
      <c r="U14" s="218">
        <f>U$13*$M14</f>
        <v>151.1113093163234</v>
      </c>
      <c r="V14" s="218">
        <f>V$13*$N14</f>
        <v>141947.79410338216</v>
      </c>
      <c r="W14" s="218">
        <f>W$13*$M14</f>
        <v>154.13353550264989</v>
      </c>
      <c r="X14" s="218">
        <f>X$13*$N14</f>
        <v>144035.26166372601</v>
      </c>
      <c r="Y14" s="218">
        <f>Y$13*$M14</f>
        <v>157.2162062127029</v>
      </c>
      <c r="Z14" s="218">
        <f>Z$13*$N14</f>
        <v>146122.72922406989</v>
      </c>
    </row>
    <row r="15" spans="3:26">
      <c r="C15" s="177" t="str">
        <f>'KACWASCO tariff bands'!B15</f>
        <v xml:space="preserve">7-20m3 </v>
      </c>
      <c r="D15" s="187">
        <f>'KACWASCO tariff bands'!C15</f>
        <v>0.2</v>
      </c>
      <c r="E15" s="187">
        <f>'KACWASCO tariff bands'!D15</f>
        <v>0.34</v>
      </c>
      <c r="F15" s="218">
        <f t="shared" si="14"/>
        <v>41.6</v>
      </c>
      <c r="G15" s="170">
        <f t="shared" si="15"/>
        <v>40320.94</v>
      </c>
      <c r="H15" s="218">
        <f t="shared" si="16"/>
        <v>42.6</v>
      </c>
      <c r="I15" s="218">
        <f t="shared" si="17"/>
        <v>43401.340000000004</v>
      </c>
      <c r="J15" s="218">
        <f t="shared" si="18"/>
        <v>43.6</v>
      </c>
      <c r="K15" s="218">
        <f t="shared" si="19"/>
        <v>43401.340000000004</v>
      </c>
      <c r="L15" s="179" t="str">
        <f>'KACWASCO tariff bands'!E15</f>
        <v xml:space="preserve">51-100m3 </v>
      </c>
      <c r="M15" s="188">
        <f>'KACWASCO tariff bands'!F15</f>
        <v>0.25</v>
      </c>
      <c r="N15" s="183">
        <f>'NEW CONSUMPTIONS PATTERN'!K16/100</f>
        <v>0.10457639000087736</v>
      </c>
      <c r="O15" s="218">
        <f t="shared" si="20"/>
        <v>44.498613053568263</v>
      </c>
      <c r="P15" s="218">
        <f t="shared" si="21"/>
        <v>58509.920000000006</v>
      </c>
      <c r="Q15" s="218">
        <f>Q$13*$M15</f>
        <v>56.73573164329953</v>
      </c>
      <c r="R15" s="218">
        <f>R$13*$N15</f>
        <v>19090.869175068325</v>
      </c>
      <c r="S15" s="218">
        <f>S$13*$M15</f>
        <v>57.870446276165531</v>
      </c>
      <c r="T15" s="218">
        <f>T$13*$N15</f>
        <v>19090.869175068325</v>
      </c>
      <c r="U15" s="218">
        <f>U$13*$M15</f>
        <v>59.02785520168883</v>
      </c>
      <c r="V15" s="218">
        <f>V$13*$N15</f>
        <v>19375.807520964863</v>
      </c>
      <c r="W15" s="218">
        <f>W$13*$M15</f>
        <v>60.208412305722611</v>
      </c>
      <c r="X15" s="218">
        <f>X$13*$N15</f>
        <v>19660.745866861405</v>
      </c>
      <c r="Y15" s="218">
        <f>Y$13*$M15</f>
        <v>61.412580551837067</v>
      </c>
      <c r="Z15" s="218">
        <f>Z$13*$N15</f>
        <v>19945.684212757951</v>
      </c>
    </row>
    <row r="16" spans="3:26">
      <c r="C16" s="177" t="str">
        <f>'KACWASCO tariff bands'!B16</f>
        <v xml:space="preserve">21-50m3 </v>
      </c>
      <c r="D16" s="187">
        <f>'KACWASCO tariff bands'!C16</f>
        <v>0.3</v>
      </c>
      <c r="E16" s="187">
        <f>'KACWASCO tariff bands'!D16</f>
        <v>0.16</v>
      </c>
      <c r="F16" s="218">
        <f t="shared" si="14"/>
        <v>62.4</v>
      </c>
      <c r="G16" s="170">
        <f t="shared" si="15"/>
        <v>18974.560000000001</v>
      </c>
      <c r="H16" s="218">
        <f t="shared" si="16"/>
        <v>63.9</v>
      </c>
      <c r="I16" s="218">
        <f t="shared" si="17"/>
        <v>20424.16</v>
      </c>
      <c r="J16" s="218">
        <f t="shared" si="18"/>
        <v>65.399999999999991</v>
      </c>
      <c r="K16" s="218">
        <f t="shared" si="19"/>
        <v>20424.16</v>
      </c>
      <c r="L16" s="179" t="str">
        <f>'KACWASCO tariff bands'!E16</f>
        <v xml:space="preserve">101-300m3 </v>
      </c>
      <c r="M16" s="188">
        <f>'KACWASCO tariff bands'!F16</f>
        <v>0.1</v>
      </c>
      <c r="N16" s="183">
        <f>'NEW CONSUMPTIONS PATTERN'!K17/100</f>
        <v>0.10017050820985393</v>
      </c>
      <c r="O16" s="218">
        <f t="shared" si="20"/>
        <v>66.747919580352388</v>
      </c>
      <c r="P16" s="218">
        <f t="shared" si="21"/>
        <v>27534.080000000002</v>
      </c>
      <c r="Q16" s="218">
        <f>Q$13*$M16</f>
        <v>22.694292657319814</v>
      </c>
      <c r="R16" s="218">
        <f>R$13*$N16</f>
        <v>18286.55652980931</v>
      </c>
      <c r="S16" s="218">
        <f>S$13*$M16</f>
        <v>23.148178510466213</v>
      </c>
      <c r="T16" s="218">
        <f>T$13*$N16</f>
        <v>18286.55652980931</v>
      </c>
      <c r="U16" s="218">
        <f>U$13*$M16</f>
        <v>23.611142080675535</v>
      </c>
      <c r="V16" s="218">
        <f>V$13*$N16</f>
        <v>18559.490209358701</v>
      </c>
      <c r="W16" s="218">
        <f>W$13*$M16</f>
        <v>24.083364922289046</v>
      </c>
      <c r="X16" s="218">
        <f>X$13*$N16</f>
        <v>18832.423888908095</v>
      </c>
      <c r="Y16" s="218">
        <f>Y$13*$M16</f>
        <v>24.565032220734828</v>
      </c>
      <c r="Z16" s="218">
        <f>Z$13*$N16</f>
        <v>19105.357568457486</v>
      </c>
    </row>
    <row r="17" spans="3:26">
      <c r="C17" s="177" t="str">
        <f>'KACWASCO tariff bands'!B17</f>
        <v xml:space="preserve">51-100m3 </v>
      </c>
      <c r="D17" s="187">
        <f>'KACWASCO tariff bands'!C17</f>
        <v>0.25</v>
      </c>
      <c r="E17" s="187">
        <f>'KACWASCO tariff bands'!D17</f>
        <v>0.21</v>
      </c>
      <c r="F17" s="218">
        <f t="shared" si="14"/>
        <v>52</v>
      </c>
      <c r="G17" s="170">
        <f t="shared" si="15"/>
        <v>24904.11</v>
      </c>
      <c r="H17" s="218">
        <f t="shared" si="16"/>
        <v>53.25</v>
      </c>
      <c r="I17" s="218">
        <f t="shared" si="17"/>
        <v>26806.71</v>
      </c>
      <c r="J17" s="218">
        <f t="shared" si="18"/>
        <v>54.5</v>
      </c>
      <c r="K17" s="218">
        <f t="shared" si="19"/>
        <v>26806.71</v>
      </c>
      <c r="L17" s="179" t="str">
        <f>'KACWASCO tariff bands'!E17</f>
        <v>&gt;300m3</v>
      </c>
      <c r="M17" s="188">
        <f>'KACWASCO tariff bands'!F17</f>
        <v>0.01</v>
      </c>
      <c r="N17" s="183">
        <f>'NEW CONSUMPTIONS PATTERN'!K18/100</f>
        <v>2.9123078054375608E-2</v>
      </c>
      <c r="O17" s="218">
        <f t="shared" si="20"/>
        <v>55.623266316960326</v>
      </c>
      <c r="P17" s="218">
        <f t="shared" si="21"/>
        <v>36138.479999999996</v>
      </c>
      <c r="Q17" s="218">
        <f>Q$13*$M17</f>
        <v>2.2694292657319814</v>
      </c>
      <c r="R17" s="218">
        <f>R$13*$N17</f>
        <v>5316.5429893566188</v>
      </c>
      <c r="S17" s="218">
        <f>S$13*$M17</f>
        <v>2.3148178510466213</v>
      </c>
      <c r="T17" s="218">
        <f>T$13*$N17</f>
        <v>5316.5429893566188</v>
      </c>
      <c r="U17" s="218">
        <f>U$13*$M17</f>
        <v>2.3611142080675531</v>
      </c>
      <c r="V17" s="218">
        <f>V$13*$N17</f>
        <v>5395.8943772574621</v>
      </c>
      <c r="W17" s="218">
        <f>W$13*$M17</f>
        <v>2.4083364922289046</v>
      </c>
      <c r="X17" s="218">
        <f>X$13*$N17</f>
        <v>5475.2457651583081</v>
      </c>
      <c r="Y17" s="218">
        <f>Y$13*$M17</f>
        <v>2.4565032220734828</v>
      </c>
      <c r="Z17" s="218">
        <f>Z$13*$N17</f>
        <v>5554.5971530591532</v>
      </c>
    </row>
    <row r="18" spans="3:26">
      <c r="C18" s="177" t="str">
        <f>'KACWASCO tariff bands'!B18</f>
        <v xml:space="preserve">101-300m3 </v>
      </c>
      <c r="D18" s="187">
        <f>'KACWASCO tariff bands'!C18</f>
        <v>0.1</v>
      </c>
      <c r="E18" s="187">
        <f>'KACWASCO tariff bands'!D18</f>
        <v>0.04</v>
      </c>
      <c r="F18" s="218">
        <f t="shared" si="14"/>
        <v>20.8</v>
      </c>
      <c r="G18" s="170">
        <f t="shared" si="15"/>
        <v>4743.6400000000003</v>
      </c>
      <c r="H18" s="218">
        <f t="shared" si="16"/>
        <v>21.3</v>
      </c>
      <c r="I18" s="218">
        <f t="shared" si="17"/>
        <v>5106.04</v>
      </c>
      <c r="J18" s="218">
        <f t="shared" si="18"/>
        <v>21.8</v>
      </c>
      <c r="K18" s="218">
        <f t="shared" si="19"/>
        <v>5106.04</v>
      </c>
      <c r="L18" s="179"/>
      <c r="M18" s="188"/>
      <c r="N18" s="188"/>
      <c r="O18" s="218">
        <f t="shared" si="20"/>
        <v>22.249306526784132</v>
      </c>
      <c r="P18" s="218">
        <f t="shared" si="21"/>
        <v>6883.52</v>
      </c>
      <c r="Q18" s="218"/>
      <c r="R18" s="218"/>
      <c r="S18" s="218"/>
      <c r="T18" s="218"/>
      <c r="U18" s="218"/>
      <c r="V18" s="218"/>
      <c r="W18" s="218"/>
      <c r="X18" s="218"/>
      <c r="Y18" s="218"/>
      <c r="Z18" s="218"/>
    </row>
    <row r="19" spans="3:26">
      <c r="C19" s="177" t="str">
        <f>'KACWASCO tariff bands'!B19</f>
        <v>&gt;300m3</v>
      </c>
      <c r="D19" s="187">
        <f>'KACWASCO tariff bands'!C19</f>
        <v>0.01</v>
      </c>
      <c r="E19" s="187">
        <f>'KACWASCO tariff bands'!D19</f>
        <v>0.01</v>
      </c>
      <c r="F19" s="218">
        <f t="shared" si="14"/>
        <v>2.08</v>
      </c>
      <c r="G19" s="170">
        <f t="shared" si="15"/>
        <v>1185.9100000000001</v>
      </c>
      <c r="H19" s="218">
        <f t="shared" si="16"/>
        <v>2.13</v>
      </c>
      <c r="I19" s="218">
        <f t="shared" si="17"/>
        <v>1276.51</v>
      </c>
      <c r="J19" s="218">
        <f t="shared" si="18"/>
        <v>2.1800000000000002</v>
      </c>
      <c r="K19" s="218">
        <f t="shared" si="19"/>
        <v>1276.51</v>
      </c>
      <c r="L19" s="179"/>
      <c r="M19" s="188"/>
      <c r="N19" s="188"/>
      <c r="O19" s="218">
        <f t="shared" si="20"/>
        <v>2.2249306526784132</v>
      </c>
      <c r="P19" s="218">
        <f t="shared" si="21"/>
        <v>1720.88</v>
      </c>
      <c r="Q19" s="218"/>
      <c r="R19" s="218"/>
      <c r="S19" s="218"/>
      <c r="T19" s="218"/>
      <c r="U19" s="218"/>
      <c r="V19" s="218"/>
      <c r="W19" s="218"/>
      <c r="X19" s="218"/>
      <c r="Y19" s="218"/>
      <c r="Z19" s="218"/>
    </row>
    <row r="20" spans="3:26">
      <c r="C20" s="177"/>
      <c r="D20" s="177"/>
      <c r="E20" s="169"/>
      <c r="F20" s="219"/>
      <c r="G20" s="170"/>
      <c r="H20" s="219"/>
      <c r="I20" s="170"/>
      <c r="J20" s="219"/>
      <c r="K20" s="170"/>
      <c r="L20" s="190"/>
      <c r="M20" s="190"/>
      <c r="N20" s="190"/>
      <c r="O20" s="302"/>
      <c r="P20" s="302"/>
      <c r="Q20" s="219"/>
      <c r="R20" s="170"/>
      <c r="S20" s="219"/>
      <c r="T20" s="170"/>
      <c r="U20" s="219"/>
      <c r="V20" s="170"/>
      <c r="W20" s="219"/>
      <c r="X20" s="170"/>
      <c r="Y20" s="219"/>
      <c r="Z20" s="170"/>
    </row>
    <row r="21" spans="3:26" ht="30">
      <c r="C21" s="184" t="s">
        <v>370</v>
      </c>
      <c r="D21" s="177" t="s">
        <v>371</v>
      </c>
      <c r="E21" s="177" t="s">
        <v>372</v>
      </c>
      <c r="F21" s="176" t="s">
        <v>192</v>
      </c>
      <c r="G21" s="176" t="s">
        <v>373</v>
      </c>
      <c r="H21" s="176" t="s">
        <v>192</v>
      </c>
      <c r="I21" s="176" t="s">
        <v>373</v>
      </c>
      <c r="J21" s="176" t="s">
        <v>192</v>
      </c>
      <c r="K21" s="176" t="s">
        <v>373</v>
      </c>
      <c r="L21" s="209" t="s">
        <v>370</v>
      </c>
      <c r="M21" s="178" t="s">
        <v>371</v>
      </c>
      <c r="N21" s="179" t="s">
        <v>372</v>
      </c>
      <c r="O21" s="300"/>
      <c r="P21" s="300"/>
      <c r="Q21" s="176" t="s">
        <v>192</v>
      </c>
      <c r="R21" s="176" t="s">
        <v>373</v>
      </c>
      <c r="S21" s="176" t="s">
        <v>192</v>
      </c>
      <c r="T21" s="176" t="s">
        <v>373</v>
      </c>
      <c r="U21" s="176" t="s">
        <v>192</v>
      </c>
      <c r="V21" s="176" t="s">
        <v>373</v>
      </c>
      <c r="W21" s="176" t="s">
        <v>192</v>
      </c>
      <c r="X21" s="176" t="s">
        <v>373</v>
      </c>
      <c r="Y21" s="176" t="s">
        <v>192</v>
      </c>
      <c r="Z21" s="176" t="s">
        <v>373</v>
      </c>
    </row>
    <row r="22" spans="3:26">
      <c r="C22" s="185" t="s">
        <v>375</v>
      </c>
      <c r="D22" s="177"/>
      <c r="E22" s="177"/>
      <c r="F22" s="217">
        <f>B58</f>
        <v>0</v>
      </c>
      <c r="G22" s="217">
        <f>B48</f>
        <v>0</v>
      </c>
      <c r="H22" s="217">
        <f>C58</f>
        <v>0</v>
      </c>
      <c r="I22" s="217">
        <f>C48</f>
        <v>0</v>
      </c>
      <c r="J22" s="217">
        <f>D58</f>
        <v>0</v>
      </c>
      <c r="K22" s="217">
        <f>D48</f>
        <v>0</v>
      </c>
      <c r="L22" s="211" t="s">
        <v>375</v>
      </c>
      <c r="M22" s="211"/>
      <c r="N22" s="211"/>
      <c r="O22" s="217">
        <f>E58</f>
        <v>0</v>
      </c>
      <c r="P22" s="217">
        <f>E48</f>
        <v>88404</v>
      </c>
      <c r="Q22" s="217">
        <f>F58</f>
        <v>0</v>
      </c>
      <c r="R22" s="217">
        <f>F69</f>
        <v>28625.433670473984</v>
      </c>
      <c r="S22" s="217">
        <f>G58</f>
        <v>0</v>
      </c>
      <c r="T22" s="217">
        <f>G69</f>
        <v>28625.433670473984</v>
      </c>
      <c r="U22" s="217">
        <f>H58</f>
        <v>0</v>
      </c>
      <c r="V22" s="217">
        <f>H69</f>
        <v>29052.678949137775</v>
      </c>
      <c r="W22" s="217">
        <f>I58</f>
        <v>0</v>
      </c>
      <c r="X22" s="217">
        <f>I69</f>
        <v>29479.92422780157</v>
      </c>
      <c r="Y22" s="217">
        <f>J58</f>
        <v>30.216419733222899</v>
      </c>
      <c r="Z22" s="217">
        <f>J69</f>
        <v>29907.169506465361</v>
      </c>
    </row>
    <row r="23" spans="3:26">
      <c r="C23" s="177" t="str">
        <f>'KACWASCO tariff bands'!B22</f>
        <v xml:space="preserve">0-6m3 </v>
      </c>
      <c r="D23" s="187">
        <f>'KACWASCO tariff bands'!C22</f>
        <v>0.14000000000000001</v>
      </c>
      <c r="E23" s="187">
        <f>'KACWASCO tariff bands'!D22</f>
        <v>0.24</v>
      </c>
      <c r="F23" s="218">
        <f t="shared" ref="F23:F28" si="22">D23*F22</f>
        <v>0</v>
      </c>
      <c r="G23" s="218">
        <f t="shared" ref="G23:G28" si="23">E23*$G$22</f>
        <v>0</v>
      </c>
      <c r="H23" s="218">
        <f t="shared" ref="H23:H28" si="24">D23*H22</f>
        <v>0</v>
      </c>
      <c r="I23" s="218">
        <f t="shared" ref="I23:I28" si="25">E23*$I$22</f>
        <v>0</v>
      </c>
      <c r="J23" s="218">
        <f t="shared" ref="J23:J28" si="26">D23*J22</f>
        <v>0</v>
      </c>
      <c r="K23" s="218">
        <f t="shared" ref="K23:K28" si="27">E23*$K$22</f>
        <v>0</v>
      </c>
      <c r="L23" s="179" t="str">
        <f>'KACWASCO tariff bands'!E22</f>
        <v xml:space="preserve">1-50m3 </v>
      </c>
      <c r="M23" s="188">
        <f>'KACWASCO tariff bands'!F22</f>
        <v>0.64</v>
      </c>
      <c r="N23" s="183">
        <f>('NEW CONSUMPTIONS PATTERN'!K22+'NEW CONSUMPTIONS PATTERN'!K23+'NEW CONSUMPTIONS PATTERN'!K24)/100</f>
        <v>0.72431955607159548</v>
      </c>
      <c r="O23" s="218">
        <f t="shared" ref="O23:O28" si="28">O$22*$D23</f>
        <v>0</v>
      </c>
      <c r="P23" s="218">
        <f t="shared" ref="P23:P28" si="29">P$22*$E23</f>
        <v>21216.959999999999</v>
      </c>
      <c r="Q23" s="218">
        <f>Q$22*$M23</f>
        <v>0</v>
      </c>
      <c r="R23" s="218">
        <f>R$22*$N23</f>
        <v>20733.961408554616</v>
      </c>
      <c r="S23" s="218">
        <f>S$22*$M23</f>
        <v>0</v>
      </c>
      <c r="T23" s="218">
        <f>T$22*$N23</f>
        <v>20733.961408554616</v>
      </c>
      <c r="U23" s="218">
        <f>U$22*$M23</f>
        <v>0</v>
      </c>
      <c r="V23" s="218">
        <f>V$22*$N23</f>
        <v>21043.423519130061</v>
      </c>
      <c r="W23" s="218">
        <f>W$22*$M23</f>
        <v>0</v>
      </c>
      <c r="X23" s="218">
        <f>X$22*$N23</f>
        <v>21352.885629705506</v>
      </c>
      <c r="Y23" s="218">
        <f>Y$22*$M23</f>
        <v>19.338508629262655</v>
      </c>
      <c r="Z23" s="218">
        <f>Z$22*$N23</f>
        <v>21662.347740280948</v>
      </c>
    </row>
    <row r="24" spans="3:26">
      <c r="C24" s="177" t="str">
        <f>'KACWASCO tariff bands'!B23</f>
        <v xml:space="preserve">7-20m3 </v>
      </c>
      <c r="D24" s="187">
        <f>'KACWASCO tariff bands'!C23</f>
        <v>0.2</v>
      </c>
      <c r="E24" s="187">
        <f>'KACWASCO tariff bands'!D23</f>
        <v>0.28999999999999998</v>
      </c>
      <c r="F24" s="218">
        <f t="shared" si="22"/>
        <v>0</v>
      </c>
      <c r="G24" s="218">
        <f t="shared" si="23"/>
        <v>0</v>
      </c>
      <c r="H24" s="218">
        <f t="shared" si="24"/>
        <v>0</v>
      </c>
      <c r="I24" s="218">
        <f t="shared" si="25"/>
        <v>0</v>
      </c>
      <c r="J24" s="218">
        <f t="shared" si="26"/>
        <v>0</v>
      </c>
      <c r="K24" s="218">
        <f t="shared" si="27"/>
        <v>0</v>
      </c>
      <c r="L24" s="179" t="str">
        <f>'KACWASCO tariff bands'!E23</f>
        <v xml:space="preserve">51-100m3 </v>
      </c>
      <c r="M24" s="188">
        <f>'KACWASCO tariff bands'!F23</f>
        <v>0.25</v>
      </c>
      <c r="N24" s="183">
        <f>'NEW CONSUMPTIONS PATTERN'!K25/100</f>
        <v>0.15700348326974983</v>
      </c>
      <c r="O24" s="218">
        <f t="shared" si="28"/>
        <v>0</v>
      </c>
      <c r="P24" s="218">
        <f t="shared" si="29"/>
        <v>25637.16</v>
      </c>
      <c r="Q24" s="218">
        <f t="shared" ref="Q24:Y28" si="30">Q$22*$M24</f>
        <v>0</v>
      </c>
      <c r="R24" s="218">
        <f t="shared" ref="R24:Z28" si="31">R$22*$N24</f>
        <v>4494.2927963715956</v>
      </c>
      <c r="S24" s="218">
        <f t="shared" si="30"/>
        <v>0</v>
      </c>
      <c r="T24" s="218">
        <f t="shared" si="31"/>
        <v>4494.2927963715956</v>
      </c>
      <c r="U24" s="218">
        <f t="shared" si="30"/>
        <v>0</v>
      </c>
      <c r="V24" s="218">
        <f t="shared" si="31"/>
        <v>4561.371793332366</v>
      </c>
      <c r="W24" s="218">
        <f t="shared" si="30"/>
        <v>0</v>
      </c>
      <c r="X24" s="218">
        <f t="shared" si="31"/>
        <v>4628.4507902931364</v>
      </c>
      <c r="Y24" s="218">
        <f t="shared" si="30"/>
        <v>7.5541049333057249</v>
      </c>
      <c r="Z24" s="218">
        <f t="shared" si="31"/>
        <v>4695.5297872539068</v>
      </c>
    </row>
    <row r="25" spans="3:26">
      <c r="C25" s="177" t="str">
        <f>'KACWASCO tariff bands'!B24</f>
        <v xml:space="preserve">21-50m3 </v>
      </c>
      <c r="D25" s="187">
        <f>'KACWASCO tariff bands'!C24</f>
        <v>0.3</v>
      </c>
      <c r="E25" s="187">
        <f>'KACWASCO tariff bands'!D24</f>
        <v>0.22</v>
      </c>
      <c r="F25" s="218">
        <f t="shared" si="22"/>
        <v>0</v>
      </c>
      <c r="G25" s="218">
        <f t="shared" si="23"/>
        <v>0</v>
      </c>
      <c r="H25" s="218">
        <f t="shared" si="24"/>
        <v>0</v>
      </c>
      <c r="I25" s="218">
        <f t="shared" si="25"/>
        <v>0</v>
      </c>
      <c r="J25" s="218">
        <f t="shared" si="26"/>
        <v>0</v>
      </c>
      <c r="K25" s="218">
        <f t="shared" si="27"/>
        <v>0</v>
      </c>
      <c r="L25" s="179" t="str">
        <f>'KACWASCO tariff bands'!E24</f>
        <v xml:space="preserve">101-300m3 </v>
      </c>
      <c r="M25" s="188">
        <f>'KACWASCO tariff bands'!F24</f>
        <v>0.1</v>
      </c>
      <c r="N25" s="183">
        <f>'NEW CONSUMPTIONS PATTERN'!K26/100</f>
        <v>6.1681016933817875E-2</v>
      </c>
      <c r="O25" s="218">
        <f t="shared" si="28"/>
        <v>0</v>
      </c>
      <c r="P25" s="218">
        <f t="shared" si="29"/>
        <v>19448.88</v>
      </c>
      <c r="Q25" s="218">
        <f t="shared" si="30"/>
        <v>0</v>
      </c>
      <c r="R25" s="218">
        <f t="shared" si="31"/>
        <v>1765.6458589663862</v>
      </c>
      <c r="S25" s="218">
        <f t="shared" si="30"/>
        <v>0</v>
      </c>
      <c r="T25" s="218">
        <f t="shared" si="31"/>
        <v>1765.6458589663862</v>
      </c>
      <c r="U25" s="218">
        <f t="shared" si="30"/>
        <v>0</v>
      </c>
      <c r="V25" s="218">
        <f t="shared" si="31"/>
        <v>1791.9987822345413</v>
      </c>
      <c r="W25" s="218">
        <f t="shared" si="30"/>
        <v>0</v>
      </c>
      <c r="X25" s="218">
        <f t="shared" si="31"/>
        <v>1818.3517055026964</v>
      </c>
      <c r="Y25" s="218">
        <f t="shared" si="30"/>
        <v>3.0216419733222901</v>
      </c>
      <c r="Z25" s="218">
        <f t="shared" si="31"/>
        <v>1844.7046287708515</v>
      </c>
    </row>
    <row r="26" spans="3:26">
      <c r="C26" s="177" t="str">
        <f>'KACWASCO tariff bands'!B25</f>
        <v xml:space="preserve">51-100m3 </v>
      </c>
      <c r="D26" s="187">
        <f>'KACWASCO tariff bands'!C25</f>
        <v>0.25</v>
      </c>
      <c r="E26" s="187">
        <f>'KACWASCO tariff bands'!D25</f>
        <v>0.16</v>
      </c>
      <c r="F26" s="218">
        <f t="shared" si="22"/>
        <v>0</v>
      </c>
      <c r="G26" s="218">
        <f t="shared" si="23"/>
        <v>0</v>
      </c>
      <c r="H26" s="218">
        <f t="shared" si="24"/>
        <v>0</v>
      </c>
      <c r="I26" s="218">
        <f t="shared" si="25"/>
        <v>0</v>
      </c>
      <c r="J26" s="218">
        <f t="shared" si="26"/>
        <v>0</v>
      </c>
      <c r="K26" s="218">
        <f t="shared" si="27"/>
        <v>0</v>
      </c>
      <c r="L26" s="179" t="str">
        <f>'KACWASCO tariff bands'!E25</f>
        <v>&gt;300m3</v>
      </c>
      <c r="M26" s="188">
        <f>'KACWASCO tariff bands'!F25</f>
        <v>0.01</v>
      </c>
      <c r="N26" s="183">
        <f>'NEW CONSUMPTIONS PATTERN'!K27/100</f>
        <v>5.6995943724836767E-2</v>
      </c>
      <c r="O26" s="218">
        <f t="shared" si="28"/>
        <v>0</v>
      </c>
      <c r="P26" s="218">
        <f t="shared" si="29"/>
        <v>14144.64</v>
      </c>
      <c r="Q26" s="218">
        <f t="shared" si="30"/>
        <v>0</v>
      </c>
      <c r="R26" s="218">
        <f t="shared" si="31"/>
        <v>1631.5336065813829</v>
      </c>
      <c r="S26" s="218">
        <f t="shared" si="30"/>
        <v>0</v>
      </c>
      <c r="T26" s="218">
        <f t="shared" si="31"/>
        <v>1631.5336065813829</v>
      </c>
      <c r="U26" s="218">
        <f t="shared" si="30"/>
        <v>0</v>
      </c>
      <c r="V26" s="218">
        <f t="shared" si="31"/>
        <v>1655.8848544408065</v>
      </c>
      <c r="W26" s="218">
        <f t="shared" si="30"/>
        <v>0</v>
      </c>
      <c r="X26" s="218">
        <f t="shared" si="31"/>
        <v>1680.2361023002302</v>
      </c>
      <c r="Y26" s="218">
        <f t="shared" si="30"/>
        <v>0.30216419733222899</v>
      </c>
      <c r="Z26" s="218">
        <f t="shared" si="31"/>
        <v>1704.5873501596539</v>
      </c>
    </row>
    <row r="27" spans="3:26">
      <c r="C27" s="177" t="str">
        <f>'KACWASCO tariff bands'!B26</f>
        <v xml:space="preserve">101-300m3 </v>
      </c>
      <c r="D27" s="187">
        <f>'KACWASCO tariff bands'!C26</f>
        <v>0.1</v>
      </c>
      <c r="E27" s="187">
        <f>'KACWASCO tariff bands'!D26</f>
        <v>0.06</v>
      </c>
      <c r="F27" s="218">
        <f t="shared" si="22"/>
        <v>0</v>
      </c>
      <c r="G27" s="218">
        <f t="shared" si="23"/>
        <v>0</v>
      </c>
      <c r="H27" s="218">
        <f t="shared" si="24"/>
        <v>0</v>
      </c>
      <c r="I27" s="218">
        <f t="shared" si="25"/>
        <v>0</v>
      </c>
      <c r="J27" s="218">
        <f t="shared" si="26"/>
        <v>0</v>
      </c>
      <c r="K27" s="218">
        <f t="shared" si="27"/>
        <v>0</v>
      </c>
      <c r="L27" s="179">
        <f>'KACWASCO tariff bands'!E26</f>
        <v>0</v>
      </c>
      <c r="M27" s="188">
        <f>'KACWASCO tariff bands'!F26</f>
        <v>0</v>
      </c>
      <c r="N27" s="188">
        <f>'KACWASCO tariff bands'!G26</f>
        <v>0</v>
      </c>
      <c r="O27" s="218">
        <f t="shared" si="28"/>
        <v>0</v>
      </c>
      <c r="P27" s="218">
        <f t="shared" si="29"/>
        <v>5304.24</v>
      </c>
      <c r="Q27" s="218">
        <f t="shared" si="30"/>
        <v>0</v>
      </c>
      <c r="R27" s="218">
        <f t="shared" si="31"/>
        <v>0</v>
      </c>
      <c r="S27" s="218">
        <f t="shared" si="30"/>
        <v>0</v>
      </c>
      <c r="T27" s="218">
        <f t="shared" si="31"/>
        <v>0</v>
      </c>
      <c r="U27" s="218">
        <f t="shared" si="30"/>
        <v>0</v>
      </c>
      <c r="V27" s="218">
        <f t="shared" si="31"/>
        <v>0</v>
      </c>
      <c r="W27" s="218">
        <f t="shared" si="30"/>
        <v>0</v>
      </c>
      <c r="X27" s="218">
        <f t="shared" si="31"/>
        <v>0</v>
      </c>
      <c r="Y27" s="218">
        <f t="shared" si="30"/>
        <v>0</v>
      </c>
      <c r="Z27" s="218">
        <f t="shared" si="31"/>
        <v>0</v>
      </c>
    </row>
    <row r="28" spans="3:26">
      <c r="C28" s="177" t="str">
        <f>'KACWASCO tariff bands'!B27</f>
        <v>&gt;300m3</v>
      </c>
      <c r="D28" s="187">
        <f>'KACWASCO tariff bands'!C27</f>
        <v>0.01</v>
      </c>
      <c r="E28" s="187">
        <f>'KACWASCO tariff bands'!D27</f>
        <v>0.03</v>
      </c>
      <c r="F28" s="218">
        <f t="shared" si="22"/>
        <v>0</v>
      </c>
      <c r="G28" s="218">
        <f t="shared" si="23"/>
        <v>0</v>
      </c>
      <c r="H28" s="218">
        <f t="shared" si="24"/>
        <v>0</v>
      </c>
      <c r="I28" s="218">
        <f t="shared" si="25"/>
        <v>0</v>
      </c>
      <c r="J28" s="218">
        <f t="shared" si="26"/>
        <v>0</v>
      </c>
      <c r="K28" s="218">
        <f t="shared" si="27"/>
        <v>0</v>
      </c>
      <c r="L28" s="179">
        <f>'KACWASCO tariff bands'!E27</f>
        <v>0</v>
      </c>
      <c r="M28" s="188">
        <f>'KACWASCO tariff bands'!F27</f>
        <v>0</v>
      </c>
      <c r="N28" s="188">
        <f>'KACWASCO tariff bands'!G27</f>
        <v>0</v>
      </c>
      <c r="O28" s="218">
        <f t="shared" si="28"/>
        <v>0</v>
      </c>
      <c r="P28" s="218">
        <f t="shared" si="29"/>
        <v>2652.12</v>
      </c>
      <c r="Q28" s="218">
        <f>Q$22*$M28</f>
        <v>0</v>
      </c>
      <c r="R28" s="218">
        <f t="shared" si="31"/>
        <v>0</v>
      </c>
      <c r="S28" s="218">
        <f t="shared" si="30"/>
        <v>0</v>
      </c>
      <c r="T28" s="218">
        <f t="shared" si="31"/>
        <v>0</v>
      </c>
      <c r="U28" s="218">
        <f t="shared" si="30"/>
        <v>0</v>
      </c>
      <c r="V28" s="218">
        <f t="shared" si="31"/>
        <v>0</v>
      </c>
      <c r="W28" s="218">
        <f t="shared" si="30"/>
        <v>0</v>
      </c>
      <c r="X28" s="218">
        <f t="shared" si="31"/>
        <v>0</v>
      </c>
      <c r="Y28" s="218">
        <f t="shared" si="30"/>
        <v>0</v>
      </c>
      <c r="Z28" s="218">
        <f t="shared" si="31"/>
        <v>0</v>
      </c>
    </row>
    <row r="29" spans="3:26">
      <c r="C29" s="177"/>
      <c r="D29" s="177"/>
      <c r="E29" s="177"/>
      <c r="F29" s="177"/>
      <c r="G29" s="177"/>
      <c r="H29" s="177"/>
      <c r="I29" s="177"/>
      <c r="J29" s="218"/>
      <c r="K29" s="177"/>
      <c r="L29" s="179"/>
      <c r="M29" s="179"/>
      <c r="N29" s="179"/>
      <c r="O29" s="300"/>
      <c r="P29" s="300"/>
      <c r="Q29" s="177"/>
      <c r="R29" s="177"/>
      <c r="S29" s="177"/>
      <c r="T29" s="177"/>
      <c r="U29" s="177"/>
      <c r="V29" s="177"/>
      <c r="W29" s="177"/>
      <c r="X29" s="177"/>
      <c r="Y29" s="177"/>
      <c r="Z29" s="177"/>
    </row>
    <row r="30" spans="3:26" ht="30">
      <c r="C30" s="184" t="s">
        <v>370</v>
      </c>
      <c r="D30" s="177" t="s">
        <v>371</v>
      </c>
      <c r="E30" s="177" t="s">
        <v>372</v>
      </c>
      <c r="F30" s="176" t="s">
        <v>192</v>
      </c>
      <c r="G30" s="176" t="s">
        <v>373</v>
      </c>
      <c r="H30" s="176" t="s">
        <v>192</v>
      </c>
      <c r="I30" s="176" t="s">
        <v>373</v>
      </c>
      <c r="J30" s="176" t="s">
        <v>192</v>
      </c>
      <c r="K30" s="176" t="s">
        <v>373</v>
      </c>
      <c r="L30" s="209" t="s">
        <v>370</v>
      </c>
      <c r="M30" s="178" t="s">
        <v>371</v>
      </c>
      <c r="N30" s="179" t="s">
        <v>372</v>
      </c>
      <c r="O30" s="300"/>
      <c r="P30" s="300"/>
      <c r="Q30" s="176" t="s">
        <v>192</v>
      </c>
      <c r="R30" s="176" t="s">
        <v>373</v>
      </c>
      <c r="S30" s="176" t="s">
        <v>192</v>
      </c>
      <c r="T30" s="176" t="s">
        <v>373</v>
      </c>
      <c r="U30" s="176" t="s">
        <v>192</v>
      </c>
      <c r="V30" s="176" t="s">
        <v>373</v>
      </c>
      <c r="W30" s="176" t="s">
        <v>192</v>
      </c>
      <c r="X30" s="176" t="s">
        <v>373</v>
      </c>
      <c r="Y30" s="176" t="s">
        <v>192</v>
      </c>
      <c r="Z30" s="176" t="s">
        <v>373</v>
      </c>
    </row>
    <row r="31" spans="3:26">
      <c r="C31" s="185" t="s">
        <v>26</v>
      </c>
      <c r="D31" s="177"/>
      <c r="E31" s="177"/>
      <c r="F31" s="217">
        <f>B59</f>
        <v>128</v>
      </c>
      <c r="G31" s="217">
        <f>B49</f>
        <v>328851</v>
      </c>
      <c r="H31" s="217">
        <f>C59</f>
        <v>131</v>
      </c>
      <c r="I31" s="217">
        <f>C49</f>
        <v>353973</v>
      </c>
      <c r="J31" s="217">
        <f>D59</f>
        <v>134</v>
      </c>
      <c r="K31" s="217">
        <f>D49</f>
        <v>353973</v>
      </c>
      <c r="L31" s="211" t="s">
        <v>26</v>
      </c>
      <c r="M31" s="211"/>
      <c r="N31" s="211"/>
      <c r="O31" s="217">
        <f>E59</f>
        <v>136.83971157566313</v>
      </c>
      <c r="P31" s="217">
        <f>E49</f>
        <v>195576</v>
      </c>
      <c r="Q31" s="218">
        <f>F80</f>
        <v>139.5765058071764</v>
      </c>
      <c r="R31" s="218">
        <f>F70</f>
        <v>415029.71385107277</v>
      </c>
      <c r="S31" s="220">
        <f>G80</f>
        <v>142.36803592331992</v>
      </c>
      <c r="T31" s="220">
        <f>G70</f>
        <v>415029.71385107277</v>
      </c>
      <c r="U31" s="220">
        <f>H80</f>
        <v>145.21539664178633</v>
      </c>
      <c r="V31" s="220">
        <f>H70</f>
        <v>421224.18719213357</v>
      </c>
      <c r="W31" s="220">
        <f>I80</f>
        <v>148.11970457462206</v>
      </c>
      <c r="X31" s="220">
        <f>I70</f>
        <v>427418.66053319437</v>
      </c>
      <c r="Y31" s="220">
        <f>J80</f>
        <v>120.8656789328916</v>
      </c>
      <c r="Z31" s="220">
        <f>J70</f>
        <v>433613.13387425517</v>
      </c>
    </row>
    <row r="32" spans="3:26" ht="17.25">
      <c r="C32" s="177" t="s">
        <v>383</v>
      </c>
      <c r="D32" s="187">
        <f>'KACWASCO tariff bands'!C30</f>
        <v>0.92</v>
      </c>
      <c r="E32" s="187">
        <f>'KACWASCO tariff bands'!D30</f>
        <v>0.7</v>
      </c>
      <c r="F32" s="218">
        <f>D32*$F$31</f>
        <v>117.76</v>
      </c>
      <c r="G32" s="218">
        <f>E32*$G$31</f>
        <v>230195.69999999998</v>
      </c>
      <c r="H32" s="218">
        <f>D32*$H$31</f>
        <v>120.52000000000001</v>
      </c>
      <c r="I32" s="218">
        <f>E32*$I$31</f>
        <v>247781.09999999998</v>
      </c>
      <c r="J32" s="218">
        <f>D32*$J$31</f>
        <v>123.28</v>
      </c>
      <c r="K32" s="218">
        <f>E32*$K$31</f>
        <v>247781.09999999998</v>
      </c>
      <c r="L32" s="179" t="str">
        <f>'KACWASCO tariff bands'!E30</f>
        <v xml:space="preserve">1-600m3 </v>
      </c>
      <c r="M32" s="188">
        <f>'KACWASCO tariff bands'!F30</f>
        <v>0.95</v>
      </c>
      <c r="N32" s="183">
        <f>'NEW CONSUMPTIONS PATTERN'!K31/100</f>
        <v>0.84346532924439899</v>
      </c>
      <c r="O32" s="218">
        <f>O$31*$D32</f>
        <v>125.89253464961008</v>
      </c>
      <c r="P32" s="218">
        <f>P$31*$E32</f>
        <v>136903.19999999998</v>
      </c>
      <c r="Q32" s="218">
        <f>Q$31*$M32</f>
        <v>132.59768051681758</v>
      </c>
      <c r="R32" s="218">
        <f>R$31*$N32</f>
        <v>350063.1742396038</v>
      </c>
      <c r="S32" s="218">
        <f>S$31*$M32</f>
        <v>135.24963412715391</v>
      </c>
      <c r="T32" s="218">
        <f>T$31*$N32</f>
        <v>350063.1742396038</v>
      </c>
      <c r="U32" s="218">
        <f>U$31*$M32</f>
        <v>137.954626809697</v>
      </c>
      <c r="V32" s="218">
        <f>V$31*$N32</f>
        <v>355287.99773571728</v>
      </c>
      <c r="W32" s="218">
        <f>W$31*$M32</f>
        <v>140.71371934589095</v>
      </c>
      <c r="X32" s="218">
        <f>X$31*$N32</f>
        <v>360512.82123183081</v>
      </c>
      <c r="Y32" s="218">
        <f>Y$31*$M32</f>
        <v>114.82239498624702</v>
      </c>
      <c r="Z32" s="218">
        <f>Z$31*$N32</f>
        <v>365737.64472794428</v>
      </c>
    </row>
    <row r="33" spans="1:26" ht="17.25">
      <c r="C33" s="177" t="s">
        <v>384</v>
      </c>
      <c r="D33" s="187">
        <f>'KACWASCO tariff bands'!C31</f>
        <v>0.06</v>
      </c>
      <c r="E33" s="187">
        <f>'KACWASCO tariff bands'!D31</f>
        <v>0.25</v>
      </c>
      <c r="F33" s="218">
        <f>D33*$F$31</f>
        <v>7.68</v>
      </c>
      <c r="G33" s="218">
        <f>E33*$G$31</f>
        <v>82212.75</v>
      </c>
      <c r="H33" s="218">
        <f>D33*$H$31</f>
        <v>7.8599999999999994</v>
      </c>
      <c r="I33" s="218">
        <f>E33*$I$31</f>
        <v>88493.25</v>
      </c>
      <c r="J33" s="218">
        <f>D33*$J$31</f>
        <v>8.0399999999999991</v>
      </c>
      <c r="K33" s="218">
        <f>E33*$K$31</f>
        <v>88493.25</v>
      </c>
      <c r="L33" s="179" t="str">
        <f>'KACWASCO tariff bands'!E31</f>
        <v>601-1200m3</v>
      </c>
      <c r="M33" s="188">
        <f>'KACWASCO tariff bands'!F31</f>
        <v>0.03</v>
      </c>
      <c r="N33" s="183">
        <f>'NEW CONSUMPTIONS PATTERN'!K32/100</f>
        <v>8.6364788312462734E-2</v>
      </c>
      <c r="O33" s="218">
        <f>O$31*$D33</f>
        <v>8.2103826945397884</v>
      </c>
      <c r="P33" s="218">
        <f>P$31*$E33</f>
        <v>48894</v>
      </c>
      <c r="Q33" s="218">
        <f t="shared" ref="Q33:Y34" si="32">Q$31*$M33</f>
        <v>4.1872951742152917</v>
      </c>
      <c r="R33" s="218">
        <f t="shared" ref="R33:Z34" si="33">R$31*$N33</f>
        <v>35843.953380129882</v>
      </c>
      <c r="S33" s="218">
        <f t="shared" si="32"/>
        <v>4.2710410776995973</v>
      </c>
      <c r="T33" s="218">
        <f t="shared" si="33"/>
        <v>35843.953380129882</v>
      </c>
      <c r="U33" s="218">
        <f t="shared" si="32"/>
        <v>4.3564618992535893</v>
      </c>
      <c r="V33" s="218">
        <f t="shared" si="33"/>
        <v>36378.937758937791</v>
      </c>
      <c r="W33" s="218">
        <f t="shared" si="32"/>
        <v>4.4435911372386618</v>
      </c>
      <c r="X33" s="218">
        <f t="shared" si="33"/>
        <v>36913.9221377457</v>
      </c>
      <c r="Y33" s="218">
        <f t="shared" si="32"/>
        <v>3.6259703679867479</v>
      </c>
      <c r="Z33" s="218">
        <f t="shared" si="33"/>
        <v>37448.906516553609</v>
      </c>
    </row>
    <row r="34" spans="1:26">
      <c r="C34" s="177" t="s">
        <v>379</v>
      </c>
      <c r="D34" s="187">
        <f>'KACWASCO tariff bands'!C32</f>
        <v>0.02</v>
      </c>
      <c r="E34" s="187">
        <f>'KACWASCO tariff bands'!D32</f>
        <v>0.05</v>
      </c>
      <c r="F34" s="218">
        <f>D34*$F$31</f>
        <v>2.56</v>
      </c>
      <c r="G34" s="218">
        <f>E34*$G$31</f>
        <v>16442.55</v>
      </c>
      <c r="H34" s="218">
        <f>D34*$H$31</f>
        <v>2.62</v>
      </c>
      <c r="I34" s="218">
        <f>E34*$I$31</f>
        <v>17698.650000000001</v>
      </c>
      <c r="J34" s="218">
        <f>D34*$J$31</f>
        <v>2.68</v>
      </c>
      <c r="K34" s="218">
        <f>E34*$K$31</f>
        <v>17698.650000000001</v>
      </c>
      <c r="L34" s="179" t="str">
        <f>'KACWASCO tariff bands'!E32</f>
        <v>&gt;1200m3</v>
      </c>
      <c r="M34" s="188">
        <f>'KACWASCO tariff bands'!F32</f>
        <v>0.02</v>
      </c>
      <c r="N34" s="183">
        <f>'NEW CONSUMPTIONS PATTERN'!K33/100</f>
        <v>7.0169882443138265E-2</v>
      </c>
      <c r="O34" s="218">
        <f>O$31*$D34</f>
        <v>2.7367942315132625</v>
      </c>
      <c r="P34" s="218">
        <f>P$31*$E34</f>
        <v>9778.8000000000011</v>
      </c>
      <c r="Q34" s="218">
        <f t="shared" si="32"/>
        <v>2.791530116143528</v>
      </c>
      <c r="R34" s="218">
        <f t="shared" si="33"/>
        <v>29122.58623133909</v>
      </c>
      <c r="S34" s="218">
        <f t="shared" si="32"/>
        <v>2.8473607184663985</v>
      </c>
      <c r="T34" s="218">
        <f t="shared" si="33"/>
        <v>29122.58623133909</v>
      </c>
      <c r="U34" s="218">
        <f t="shared" si="32"/>
        <v>2.9043079328357266</v>
      </c>
      <c r="V34" s="218">
        <f t="shared" si="33"/>
        <v>29557.251697478481</v>
      </c>
      <c r="W34" s="218">
        <f t="shared" si="32"/>
        <v>2.9623940914924414</v>
      </c>
      <c r="X34" s="218">
        <f t="shared" si="33"/>
        <v>29991.917163617869</v>
      </c>
      <c r="Y34" s="218">
        <f t="shared" si="32"/>
        <v>2.4173135786578319</v>
      </c>
      <c r="Z34" s="218">
        <f t="shared" si="33"/>
        <v>30426.58262975726</v>
      </c>
    </row>
    <row r="35" spans="1:26">
      <c r="C35" s="177"/>
      <c r="D35" s="187"/>
      <c r="E35" s="171"/>
      <c r="F35" s="219"/>
      <c r="G35" s="219"/>
      <c r="H35" s="218"/>
      <c r="I35" s="219"/>
      <c r="J35" s="219"/>
      <c r="K35" s="219"/>
      <c r="L35" s="179"/>
      <c r="M35" s="179"/>
      <c r="N35" s="179"/>
      <c r="O35" s="300"/>
      <c r="P35" s="300"/>
      <c r="Q35" s="218"/>
      <c r="R35" s="218"/>
      <c r="S35" s="218"/>
      <c r="T35" s="218"/>
      <c r="U35" s="218"/>
      <c r="V35" s="218"/>
      <c r="W35" s="218"/>
      <c r="X35" s="218"/>
      <c r="Y35" s="218"/>
      <c r="Z35" s="218"/>
    </row>
    <row r="36" spans="1:26" ht="30">
      <c r="C36" s="184" t="s">
        <v>370</v>
      </c>
      <c r="D36" s="177" t="s">
        <v>371</v>
      </c>
      <c r="E36" s="177" t="s">
        <v>372</v>
      </c>
      <c r="F36" s="176" t="s">
        <v>192</v>
      </c>
      <c r="G36" s="176" t="s">
        <v>373</v>
      </c>
      <c r="H36" s="176" t="s">
        <v>192</v>
      </c>
      <c r="I36" s="176" t="s">
        <v>373</v>
      </c>
      <c r="J36" s="176" t="s">
        <v>192</v>
      </c>
      <c r="K36" s="176" t="s">
        <v>373</v>
      </c>
      <c r="L36" s="209" t="s">
        <v>370</v>
      </c>
      <c r="M36" s="210"/>
      <c r="N36" s="210"/>
      <c r="O36" s="303"/>
      <c r="P36" s="303"/>
      <c r="Q36" s="218"/>
      <c r="R36" s="218"/>
      <c r="S36" s="218"/>
      <c r="T36" s="218"/>
      <c r="U36" s="218"/>
      <c r="V36" s="218"/>
      <c r="W36" s="218"/>
      <c r="X36" s="218"/>
      <c r="Y36" s="218"/>
      <c r="Z36" s="218"/>
    </row>
    <row r="37" spans="1:26">
      <c r="C37" s="185" t="s">
        <v>16</v>
      </c>
      <c r="D37" s="177"/>
      <c r="E37" s="177"/>
      <c r="L37" s="211" t="s">
        <v>16</v>
      </c>
      <c r="M37" s="211"/>
      <c r="N37" s="211"/>
      <c r="O37" s="301"/>
      <c r="P37" s="301"/>
      <c r="Q37" s="218"/>
      <c r="R37" s="218"/>
      <c r="S37" s="218"/>
      <c r="T37" s="218"/>
      <c r="U37" s="218"/>
      <c r="V37" s="218"/>
      <c r="W37" s="218"/>
      <c r="X37" s="218"/>
      <c r="Y37" s="218"/>
      <c r="Z37" s="218"/>
    </row>
    <row r="38" spans="1:26">
      <c r="C38" s="189" t="s">
        <v>11</v>
      </c>
      <c r="D38" s="221"/>
      <c r="E38" s="177"/>
      <c r="F38" s="221">
        <f>B60</f>
        <v>145</v>
      </c>
      <c r="G38" s="221">
        <f>B50</f>
        <v>34564</v>
      </c>
      <c r="H38" s="221">
        <f>C60</f>
        <v>149</v>
      </c>
      <c r="I38" s="221">
        <f>C50</f>
        <v>37204</v>
      </c>
      <c r="J38" s="221">
        <f>D60</f>
        <v>152</v>
      </c>
      <c r="K38" s="221">
        <f>D50</f>
        <v>37204</v>
      </c>
      <c r="L38" s="190" t="s">
        <v>11</v>
      </c>
      <c r="M38" s="213"/>
      <c r="N38" s="214"/>
      <c r="O38" s="221">
        <f>E60</f>
        <v>155.2923054392391</v>
      </c>
      <c r="P38" s="221">
        <f>E50</f>
        <v>47682</v>
      </c>
      <c r="Q38" s="218">
        <f>F81</f>
        <v>158.39815154802386</v>
      </c>
      <c r="R38" s="218">
        <f>F71</f>
        <v>52404.980102207861</v>
      </c>
      <c r="S38" s="218">
        <f>G81</f>
        <v>161.56611457898435</v>
      </c>
      <c r="T38" s="218">
        <f>G71</f>
        <v>52404.980102207861</v>
      </c>
      <c r="U38" s="218">
        <f>H81</f>
        <v>164.79743687056404</v>
      </c>
      <c r="V38" s="218">
        <f>H71</f>
        <v>53187.143984330367</v>
      </c>
      <c r="W38" s="218">
        <f>I81</f>
        <v>168.09338560797534</v>
      </c>
      <c r="X38" s="218">
        <f>I71</f>
        <v>53969.307866452873</v>
      </c>
      <c r="Y38" s="218">
        <f>J81</f>
        <v>171.45525332013483</v>
      </c>
      <c r="Z38" s="218">
        <f>J71</f>
        <v>54751.471748575379</v>
      </c>
    </row>
    <row r="39" spans="1:26">
      <c r="C39" s="189"/>
      <c r="D39" s="177"/>
      <c r="E39" s="177"/>
      <c r="F39" s="222"/>
      <c r="G39" s="222"/>
      <c r="H39" s="222"/>
      <c r="I39" s="222"/>
      <c r="J39" s="222"/>
      <c r="K39" s="222"/>
      <c r="L39" s="190"/>
      <c r="M39" s="190"/>
      <c r="N39" s="190"/>
      <c r="O39" s="302"/>
      <c r="P39" s="302"/>
      <c r="Q39" s="218"/>
      <c r="R39" s="218"/>
      <c r="S39" s="218"/>
      <c r="T39" s="218"/>
      <c r="U39" s="218"/>
      <c r="V39" s="218"/>
      <c r="W39" s="218"/>
      <c r="X39" s="218"/>
      <c r="Y39" s="218"/>
      <c r="Z39" s="218"/>
    </row>
    <row r="42" spans="1:26">
      <c r="A42" s="264"/>
      <c r="B42" s="264"/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26" ht="18.75">
      <c r="E43" s="1474" t="s">
        <v>576</v>
      </c>
      <c r="F43" s="297" t="s">
        <v>571</v>
      </c>
      <c r="G43" s="297" t="s">
        <v>572</v>
      </c>
      <c r="H43" s="297" t="s">
        <v>573</v>
      </c>
      <c r="I43" s="297" t="s">
        <v>574</v>
      </c>
      <c r="J43" s="297" t="s">
        <v>575</v>
      </c>
    </row>
    <row r="44" spans="1:26">
      <c r="A44" s="200" t="s">
        <v>387</v>
      </c>
      <c r="B44" s="201"/>
      <c r="C44" s="201"/>
      <c r="D44" s="201"/>
      <c r="E44" s="305"/>
      <c r="F44" s="201"/>
      <c r="G44" s="201"/>
      <c r="H44" s="201"/>
      <c r="I44" s="201"/>
      <c r="J44" s="202"/>
    </row>
    <row r="45" spans="1:26">
      <c r="A45" s="294" t="s">
        <v>570</v>
      </c>
      <c r="B45" s="62"/>
      <c r="C45" s="62"/>
      <c r="D45" s="62"/>
      <c r="E45" s="296"/>
      <c r="F45" s="62"/>
      <c r="G45" s="62"/>
      <c r="H45" s="62"/>
      <c r="I45" s="62"/>
      <c r="J45" s="203"/>
    </row>
    <row r="46" spans="1:26">
      <c r="A46" s="223" t="s">
        <v>10</v>
      </c>
      <c r="B46" s="204">
        <f>'Kakamega data'!C12</f>
        <v>2166857</v>
      </c>
      <c r="C46" s="204">
        <f>'Kakamega data'!D12</f>
        <v>2332393</v>
      </c>
      <c r="D46" s="204">
        <f>'Kakamega data'!E12</f>
        <v>2332393</v>
      </c>
      <c r="E46" s="306">
        <f>'Kakamega data'!F12</f>
        <v>2412560</v>
      </c>
      <c r="F46" s="204">
        <f>'Kakamega data'!G12</f>
        <v>3098619.1171389725</v>
      </c>
      <c r="G46" s="204">
        <f>'Kakamega data'!H12</f>
        <v>3098619.1171389725</v>
      </c>
      <c r="H46" s="204">
        <f>'Kakamega data'!I12</f>
        <v>3144867.1636634348</v>
      </c>
      <c r="I46" s="204">
        <f>'Kakamega data'!J12</f>
        <v>3191115.2101878971</v>
      </c>
      <c r="J46" s="205">
        <f>'Kakamega data'!K12</f>
        <v>3237363.2567123598</v>
      </c>
      <c r="K46" s="194">
        <f>E46/$E$51</f>
        <v>0.82726459121286833</v>
      </c>
    </row>
    <row r="47" spans="1:26">
      <c r="A47" s="223" t="s">
        <v>386</v>
      </c>
      <c r="B47" s="204">
        <f>'Kakamega data'!C21</f>
        <v>118591</v>
      </c>
      <c r="C47" s="204">
        <f>'Kakamega data'!D21</f>
        <v>127651</v>
      </c>
      <c r="D47" s="204">
        <f>'Kakamega data'!E21</f>
        <v>127651</v>
      </c>
      <c r="E47" s="306">
        <f>'Kakamega data'!F21</f>
        <v>172088</v>
      </c>
      <c r="F47" s="204">
        <f>'Kakamega data'!G21</f>
        <v>182554.29523727257</v>
      </c>
      <c r="G47" s="204">
        <f>'Kakamega data'!H21</f>
        <v>182554.29523727257</v>
      </c>
      <c r="H47" s="204">
        <f>'Kakamega data'!I21</f>
        <v>185278.98621096316</v>
      </c>
      <c r="I47" s="204">
        <f>'Kakamega data'!J21</f>
        <v>188003.67718465382</v>
      </c>
      <c r="J47" s="205">
        <f>'Kakamega data'!K21</f>
        <v>190728.36815834447</v>
      </c>
      <c r="K47" s="194">
        <f>E47/$E$51</f>
        <v>5.9008815935205794E-2</v>
      </c>
    </row>
    <row r="48" spans="1:26">
      <c r="A48" s="223" t="s">
        <v>362</v>
      </c>
      <c r="B48" s="204">
        <f>'Kakamega data'!C16</f>
        <v>0</v>
      </c>
      <c r="C48" s="204">
        <f>'Kakamega data'!D16</f>
        <v>0</v>
      </c>
      <c r="D48" s="204">
        <f>'Kakamega data'!E16</f>
        <v>0</v>
      </c>
      <c r="E48" s="306">
        <f>'Kakamega data'!F16</f>
        <v>88404</v>
      </c>
      <c r="F48" s="204">
        <f>'Kakamega data'!G16</f>
        <v>28625.433670473984</v>
      </c>
      <c r="G48" s="204">
        <f>'Kakamega data'!H16</f>
        <v>28625.433670473984</v>
      </c>
      <c r="H48" s="204">
        <f>'Kakamega data'!I16</f>
        <v>29052.678949137775</v>
      </c>
      <c r="I48" s="204">
        <f>'Kakamega data'!J16</f>
        <v>29479.92422780157</v>
      </c>
      <c r="J48" s="205">
        <f>'Kakamega data'!K16</f>
        <v>29907.169506465361</v>
      </c>
      <c r="K48" s="194">
        <f>E48/$E$51</f>
        <v>3.0313649783459233E-2</v>
      </c>
    </row>
    <row r="49" spans="1:11">
      <c r="A49" s="223" t="s">
        <v>20</v>
      </c>
      <c r="B49" s="204">
        <f>'Kakamega data'!C15</f>
        <v>328851</v>
      </c>
      <c r="C49" s="204">
        <f>'Kakamega data'!D15</f>
        <v>353973</v>
      </c>
      <c r="D49" s="204">
        <f>'Kakamega data'!E15</f>
        <v>353973</v>
      </c>
      <c r="E49" s="306">
        <f>'Kakamega data'!F15</f>
        <v>195576</v>
      </c>
      <c r="F49" s="204">
        <f>'Kakamega data'!G15</f>
        <v>415029.71385107277</v>
      </c>
      <c r="G49" s="204">
        <f>'Kakamega data'!H15</f>
        <v>415029.71385107277</v>
      </c>
      <c r="H49" s="204">
        <f>'Kakamega data'!I15</f>
        <v>421224.18719213357</v>
      </c>
      <c r="I49" s="204">
        <f>'Kakamega data'!J15</f>
        <v>427418.66053319437</v>
      </c>
      <c r="J49" s="205">
        <f>'Kakamega data'!K15</f>
        <v>433613.13387425517</v>
      </c>
      <c r="K49" s="194">
        <f>E49/$E$51</f>
        <v>6.706282939742346E-2</v>
      </c>
    </row>
    <row r="50" spans="1:11">
      <c r="A50" s="223" t="s">
        <v>16</v>
      </c>
      <c r="B50" s="204">
        <f>'Kakamega data'!C17</f>
        <v>34564</v>
      </c>
      <c r="C50" s="204">
        <f>'Kakamega data'!D17</f>
        <v>37204</v>
      </c>
      <c r="D50" s="204">
        <f>'Kakamega data'!E17</f>
        <v>37204</v>
      </c>
      <c r="E50" s="306">
        <f>'Kakamega data'!F17</f>
        <v>47682</v>
      </c>
      <c r="F50" s="204">
        <f>'Kakamega data'!G17</f>
        <v>52404.980102207861</v>
      </c>
      <c r="G50" s="204">
        <f>'Kakamega data'!H17</f>
        <v>52404.980102207861</v>
      </c>
      <c r="H50" s="204">
        <f>'Kakamega data'!I17</f>
        <v>53187.143984330367</v>
      </c>
      <c r="I50" s="204">
        <f>'Kakamega data'!J17</f>
        <v>53969.307866452873</v>
      </c>
      <c r="J50" s="205">
        <f>'Kakamega data'!K17</f>
        <v>54751.471748575379</v>
      </c>
      <c r="K50" s="194">
        <f>E50/$E$51</f>
        <v>1.6350113671043203E-2</v>
      </c>
    </row>
    <row r="51" spans="1:11">
      <c r="A51" s="224" t="s">
        <v>22</v>
      </c>
      <c r="B51" s="206">
        <f t="shared" ref="B51:J51" si="34">SUM(B46:B50)</f>
        <v>2648863</v>
      </c>
      <c r="C51" s="206">
        <f t="shared" si="34"/>
        <v>2851221</v>
      </c>
      <c r="D51" s="206">
        <f t="shared" si="34"/>
        <v>2851221</v>
      </c>
      <c r="E51" s="307">
        <f>SUM(E46:E50)</f>
        <v>2916310</v>
      </c>
      <c r="F51" s="206">
        <f t="shared" si="34"/>
        <v>3777233.5399999996</v>
      </c>
      <c r="G51" s="206">
        <f t="shared" si="34"/>
        <v>3777233.5399999996</v>
      </c>
      <c r="H51" s="206">
        <f t="shared" si="34"/>
        <v>3833610.1599999997</v>
      </c>
      <c r="I51" s="206">
        <f t="shared" si="34"/>
        <v>3889986.78</v>
      </c>
      <c r="J51" s="287">
        <f t="shared" si="34"/>
        <v>3946363.4000000008</v>
      </c>
    </row>
    <row r="52" spans="1:11">
      <c r="E52" s="294"/>
    </row>
    <row r="53" spans="1:11">
      <c r="E53" s="294"/>
      <c r="F53" s="149" t="s">
        <v>571</v>
      </c>
      <c r="G53" s="149" t="s">
        <v>572</v>
      </c>
      <c r="H53" s="149" t="s">
        <v>573</v>
      </c>
      <c r="I53" s="149" t="s">
        <v>574</v>
      </c>
      <c r="J53" s="149" t="s">
        <v>575</v>
      </c>
    </row>
    <row r="54" spans="1:11">
      <c r="A54" s="200" t="s">
        <v>388</v>
      </c>
      <c r="B54" s="201"/>
      <c r="C54" s="201"/>
      <c r="D54" s="201"/>
      <c r="E54" s="305"/>
      <c r="F54" s="201"/>
      <c r="G54" s="201"/>
      <c r="H54" s="201"/>
      <c r="I54" s="201"/>
      <c r="J54" s="202"/>
    </row>
    <row r="55" spans="1:11">
      <c r="A55" s="199"/>
      <c r="B55" s="62">
        <v>2018</v>
      </c>
      <c r="C55" s="62">
        <f>B55+1</f>
        <v>2019</v>
      </c>
      <c r="D55" s="62">
        <f t="shared" ref="D55:J55" si="35">C55+1</f>
        <v>2020</v>
      </c>
      <c r="E55" s="296">
        <f t="shared" si="35"/>
        <v>2021</v>
      </c>
      <c r="F55" s="62">
        <f t="shared" si="35"/>
        <v>2022</v>
      </c>
      <c r="G55" s="62">
        <f t="shared" si="35"/>
        <v>2023</v>
      </c>
      <c r="H55" s="62">
        <f t="shared" si="35"/>
        <v>2024</v>
      </c>
      <c r="I55" s="62">
        <f t="shared" si="35"/>
        <v>2025</v>
      </c>
      <c r="J55" s="203">
        <f t="shared" si="35"/>
        <v>2026</v>
      </c>
    </row>
    <row r="56" spans="1:11">
      <c r="A56" s="223" t="s">
        <v>10</v>
      </c>
      <c r="B56" s="204">
        <f>'Kakamega data'!C36</f>
        <v>19546</v>
      </c>
      <c r="C56" s="204">
        <f>'Kakamega data'!D36</f>
        <v>20018</v>
      </c>
      <c r="D56" s="204">
        <f>'Kakamega data'!E36</f>
        <v>20506</v>
      </c>
      <c r="E56" s="306">
        <f>'Kakamega data'!F36</f>
        <v>20915.574917717255</v>
      </c>
      <c r="F56" s="204">
        <f>'Kakamega data'!G36</f>
        <v>21333.8864160716</v>
      </c>
      <c r="G56" s="204">
        <f>'Kakamega data'!H36</f>
        <v>21760.564144393033</v>
      </c>
      <c r="H56" s="204">
        <f>'Kakamega data'!I36</f>
        <v>22195.775427280892</v>
      </c>
      <c r="I56" s="204">
        <f>'Kakamega data'!J36</f>
        <v>22639.690935826511</v>
      </c>
      <c r="J56" s="205">
        <f>'Kakamega data'!K36</f>
        <v>23092.484754543042</v>
      </c>
    </row>
    <row r="57" spans="1:11">
      <c r="A57" s="223" t="s">
        <v>386</v>
      </c>
      <c r="B57" s="204">
        <f>'Kakamega data'!C44</f>
        <v>208</v>
      </c>
      <c r="C57" s="204">
        <f>'Kakamega data'!D44</f>
        <v>213</v>
      </c>
      <c r="D57" s="204">
        <f>'Kakamega data'!E44</f>
        <v>218</v>
      </c>
      <c r="E57" s="306">
        <f>'Kakamega data'!F44</f>
        <v>222.4930652678413</v>
      </c>
      <c r="F57" s="204">
        <f>'Kakamega data'!G44</f>
        <v>226.94292657319812</v>
      </c>
      <c r="G57" s="204">
        <f>'Kakamega data'!H44</f>
        <v>231.48178510466212</v>
      </c>
      <c r="H57" s="204">
        <f>'Kakamega data'!I44</f>
        <v>236.11142080675532</v>
      </c>
      <c r="I57" s="204">
        <f>'Kakamega data'!J44</f>
        <v>240.83364922289044</v>
      </c>
      <c r="J57" s="205">
        <f>'Kakamega data'!K44</f>
        <v>245.65032220734827</v>
      </c>
    </row>
    <row r="58" spans="1:11">
      <c r="A58" s="223" t="s">
        <v>362</v>
      </c>
      <c r="B58" s="204">
        <f>'Kakamega data'!C40</f>
        <v>0</v>
      </c>
      <c r="C58" s="204">
        <f>'Kakamega data'!D40</f>
        <v>0</v>
      </c>
      <c r="D58" s="204">
        <f>'Kakamega data'!E40</f>
        <v>0</v>
      </c>
      <c r="E58" s="306">
        <f>'Kakamega data'!F40</f>
        <v>0</v>
      </c>
      <c r="F58" s="204">
        <f>'Kakamega data'!G40</f>
        <v>0</v>
      </c>
      <c r="G58" s="204">
        <f>'Kakamega data'!H40</f>
        <v>0</v>
      </c>
      <c r="H58" s="204">
        <f>'Kakamega data'!I40</f>
        <v>0</v>
      </c>
      <c r="I58" s="204">
        <f>'Kakamega data'!J40</f>
        <v>0</v>
      </c>
      <c r="J58" s="205">
        <f>'Kakamega data'!K40</f>
        <v>30.216419733222899</v>
      </c>
    </row>
    <row r="59" spans="1:11">
      <c r="A59" s="223" t="s">
        <v>20</v>
      </c>
      <c r="B59" s="204">
        <f>'Kakamega data'!C39</f>
        <v>128</v>
      </c>
      <c r="C59" s="204">
        <f>'Kakamega data'!D39</f>
        <v>131</v>
      </c>
      <c r="D59" s="204">
        <f>'Kakamega data'!E39</f>
        <v>134</v>
      </c>
      <c r="E59" s="306">
        <f>'Kakamega data'!F39</f>
        <v>136.83971157566313</v>
      </c>
      <c r="F59" s="204">
        <f>'Kakamega data'!G39</f>
        <v>139.5765058071764</v>
      </c>
      <c r="G59" s="204">
        <f>'Kakamega data'!H39</f>
        <v>142.36803592331992</v>
      </c>
      <c r="H59" s="204">
        <f>'Kakamega data'!I39</f>
        <v>145.21539664178633</v>
      </c>
      <c r="I59" s="204">
        <f>'Kakamega data'!J39</f>
        <v>148.11970457462206</v>
      </c>
      <c r="J59" s="205">
        <f>'Kakamega data'!K39</f>
        <v>120.8656789328916</v>
      </c>
    </row>
    <row r="60" spans="1:11">
      <c r="A60" s="223" t="s">
        <v>16</v>
      </c>
      <c r="B60" s="204">
        <f>'Kakamega data'!C41</f>
        <v>145</v>
      </c>
      <c r="C60" s="204">
        <f>'Kakamega data'!D41</f>
        <v>149</v>
      </c>
      <c r="D60" s="204">
        <f>'Kakamega data'!E41</f>
        <v>152</v>
      </c>
      <c r="E60" s="306">
        <f>'Kakamega data'!F41</f>
        <v>155.2923054392391</v>
      </c>
      <c r="F60" s="204">
        <f>'Kakamega data'!G41</f>
        <v>158.39815154802386</v>
      </c>
      <c r="G60" s="204">
        <f>'Kakamega data'!H41</f>
        <v>161.56611457898435</v>
      </c>
      <c r="H60" s="204">
        <f>'Kakamega data'!I41</f>
        <v>164.79743687056404</v>
      </c>
      <c r="I60" s="204">
        <f>'Kakamega data'!J41</f>
        <v>168.09338560797534</v>
      </c>
      <c r="J60" s="205">
        <f>'Kakamega data'!K41</f>
        <v>171.45525332013483</v>
      </c>
    </row>
    <row r="61" spans="1:11">
      <c r="A61" s="224" t="s">
        <v>22</v>
      </c>
      <c r="B61" s="206">
        <f>SUM(B56:B60)</f>
        <v>20027</v>
      </c>
      <c r="C61" s="206">
        <f t="shared" ref="C61:J61" si="36">SUM(C56:C60)</f>
        <v>20511</v>
      </c>
      <c r="D61" s="206">
        <f t="shared" si="36"/>
        <v>21010</v>
      </c>
      <c r="E61" s="307">
        <f t="shared" si="36"/>
        <v>21430.199999999997</v>
      </c>
      <c r="F61" s="206">
        <f t="shared" si="36"/>
        <v>21858.804</v>
      </c>
      <c r="G61" s="206">
        <f t="shared" si="36"/>
        <v>22295.980079999998</v>
      </c>
      <c r="H61" s="206">
        <f t="shared" si="36"/>
        <v>22741.8996816</v>
      </c>
      <c r="I61" s="206">
        <f t="shared" si="36"/>
        <v>23196.737675232001</v>
      </c>
      <c r="J61" s="287">
        <f t="shared" si="36"/>
        <v>23660.672428736641</v>
      </c>
    </row>
    <row r="62" spans="1:11">
      <c r="E62" s="294"/>
    </row>
    <row r="63" spans="1:11">
      <c r="E63" s="294"/>
    </row>
    <row r="64" spans="1:11">
      <c r="A64" s="294" t="s">
        <v>569</v>
      </c>
      <c r="B64" s="295">
        <v>1</v>
      </c>
      <c r="C64" s="239">
        <v>1</v>
      </c>
      <c r="E64" s="294"/>
    </row>
    <row r="65" spans="1:10">
      <c r="A65" s="200" t="s">
        <v>387</v>
      </c>
      <c r="B65" s="201"/>
      <c r="C65" s="201"/>
      <c r="D65" s="201"/>
      <c r="E65" s="305"/>
      <c r="F65" s="201"/>
      <c r="G65" s="201"/>
      <c r="H65" s="201"/>
      <c r="I65" s="201"/>
      <c r="J65" s="202"/>
    </row>
    <row r="66" spans="1:10">
      <c r="A66" s="199"/>
      <c r="B66" s="62"/>
      <c r="C66" s="62"/>
      <c r="D66" s="62"/>
      <c r="E66" s="296"/>
      <c r="F66" s="62"/>
      <c r="G66" s="62"/>
      <c r="H66" s="62"/>
      <c r="I66" s="62"/>
      <c r="J66" s="203"/>
    </row>
    <row r="67" spans="1:10">
      <c r="A67" s="223" t="s">
        <v>10</v>
      </c>
      <c r="B67" s="204">
        <f>B46*$B$64</f>
        <v>2166857</v>
      </c>
      <c r="C67" s="204">
        <f t="shared" ref="C67:J67" si="37">C46*$B$64</f>
        <v>2332393</v>
      </c>
      <c r="D67" s="204">
        <f t="shared" si="37"/>
        <v>2332393</v>
      </c>
      <c r="E67" s="306">
        <f t="shared" si="37"/>
        <v>2412560</v>
      </c>
      <c r="F67" s="204">
        <f t="shared" si="37"/>
        <v>3098619.1171389725</v>
      </c>
      <c r="G67" s="204">
        <f t="shared" si="37"/>
        <v>3098619.1171389725</v>
      </c>
      <c r="H67" s="204">
        <f t="shared" si="37"/>
        <v>3144867.1636634348</v>
      </c>
      <c r="I67" s="204">
        <f t="shared" si="37"/>
        <v>3191115.2101878971</v>
      </c>
      <c r="J67" s="205">
        <f t="shared" si="37"/>
        <v>3237363.2567123598</v>
      </c>
    </row>
    <row r="68" spans="1:10">
      <c r="A68" s="223" t="s">
        <v>386</v>
      </c>
      <c r="B68" s="204">
        <f>B47*$C$64</f>
        <v>118591</v>
      </c>
      <c r="C68" s="204">
        <f t="shared" ref="C68:J68" si="38">C47*$C$64</f>
        <v>127651</v>
      </c>
      <c r="D68" s="204">
        <f t="shared" si="38"/>
        <v>127651</v>
      </c>
      <c r="E68" s="204">
        <f t="shared" si="38"/>
        <v>172088</v>
      </c>
      <c r="F68" s="204">
        <f t="shared" si="38"/>
        <v>182554.29523727257</v>
      </c>
      <c r="G68" s="204">
        <f t="shared" si="38"/>
        <v>182554.29523727257</v>
      </c>
      <c r="H68" s="204">
        <f t="shared" si="38"/>
        <v>185278.98621096316</v>
      </c>
      <c r="I68" s="204">
        <f t="shared" si="38"/>
        <v>188003.67718465382</v>
      </c>
      <c r="J68" s="205">
        <f t="shared" si="38"/>
        <v>190728.36815834447</v>
      </c>
    </row>
    <row r="69" spans="1:10">
      <c r="A69" s="223" t="s">
        <v>362</v>
      </c>
      <c r="B69" s="204">
        <f t="shared" ref="B69:J71" si="39">B48*$C$64</f>
        <v>0</v>
      </c>
      <c r="C69" s="204">
        <f t="shared" si="39"/>
        <v>0</v>
      </c>
      <c r="D69" s="204">
        <f t="shared" si="39"/>
        <v>0</v>
      </c>
      <c r="E69" s="204">
        <f t="shared" si="39"/>
        <v>88404</v>
      </c>
      <c r="F69" s="204">
        <f t="shared" si="39"/>
        <v>28625.433670473984</v>
      </c>
      <c r="G69" s="204">
        <f t="shared" si="39"/>
        <v>28625.433670473984</v>
      </c>
      <c r="H69" s="204">
        <f t="shared" si="39"/>
        <v>29052.678949137775</v>
      </c>
      <c r="I69" s="204">
        <f t="shared" si="39"/>
        <v>29479.92422780157</v>
      </c>
      <c r="J69" s="205">
        <f t="shared" si="39"/>
        <v>29907.169506465361</v>
      </c>
    </row>
    <row r="70" spans="1:10">
      <c r="A70" s="223" t="s">
        <v>20</v>
      </c>
      <c r="B70" s="204">
        <f t="shared" si="39"/>
        <v>328851</v>
      </c>
      <c r="C70" s="204">
        <f t="shared" si="39"/>
        <v>353973</v>
      </c>
      <c r="D70" s="204">
        <f t="shared" si="39"/>
        <v>353973</v>
      </c>
      <c r="E70" s="204">
        <f t="shared" si="39"/>
        <v>195576</v>
      </c>
      <c r="F70" s="204">
        <f t="shared" si="39"/>
        <v>415029.71385107277</v>
      </c>
      <c r="G70" s="204">
        <f t="shared" si="39"/>
        <v>415029.71385107277</v>
      </c>
      <c r="H70" s="204">
        <f t="shared" si="39"/>
        <v>421224.18719213357</v>
      </c>
      <c r="I70" s="204">
        <f t="shared" si="39"/>
        <v>427418.66053319437</v>
      </c>
      <c r="J70" s="205">
        <f t="shared" si="39"/>
        <v>433613.13387425517</v>
      </c>
    </row>
    <row r="71" spans="1:10">
      <c r="A71" s="223" t="s">
        <v>16</v>
      </c>
      <c r="B71" s="204">
        <f t="shared" si="39"/>
        <v>34564</v>
      </c>
      <c r="C71" s="204">
        <f t="shared" si="39"/>
        <v>37204</v>
      </c>
      <c r="D71" s="204">
        <f t="shared" si="39"/>
        <v>37204</v>
      </c>
      <c r="E71" s="204">
        <f t="shared" si="39"/>
        <v>47682</v>
      </c>
      <c r="F71" s="204">
        <f t="shared" si="39"/>
        <v>52404.980102207861</v>
      </c>
      <c r="G71" s="204">
        <f t="shared" si="39"/>
        <v>52404.980102207861</v>
      </c>
      <c r="H71" s="204">
        <f t="shared" si="39"/>
        <v>53187.143984330367</v>
      </c>
      <c r="I71" s="204">
        <f t="shared" si="39"/>
        <v>53969.307866452873</v>
      </c>
      <c r="J71" s="205">
        <f t="shared" si="39"/>
        <v>54751.471748575379</v>
      </c>
    </row>
    <row r="72" spans="1:10">
      <c r="A72" s="224" t="s">
        <v>22</v>
      </c>
      <c r="B72" s="206">
        <f t="shared" ref="B72:J72" si="40">SUM(B67:B71)</f>
        <v>2648863</v>
      </c>
      <c r="C72" s="206">
        <f t="shared" si="40"/>
        <v>2851221</v>
      </c>
      <c r="D72" s="206">
        <f t="shared" si="40"/>
        <v>2851221</v>
      </c>
      <c r="E72" s="307">
        <f t="shared" si="40"/>
        <v>2916310</v>
      </c>
      <c r="F72" s="206">
        <f t="shared" si="40"/>
        <v>3777233.5399999996</v>
      </c>
      <c r="G72" s="206">
        <f t="shared" si="40"/>
        <v>3777233.5399999996</v>
      </c>
      <c r="H72" s="206">
        <f t="shared" si="40"/>
        <v>3833610.1599999997</v>
      </c>
      <c r="I72" s="206">
        <f t="shared" si="40"/>
        <v>3889986.78</v>
      </c>
      <c r="J72" s="287">
        <f t="shared" si="40"/>
        <v>3946363.4000000008</v>
      </c>
    </row>
    <row r="73" spans="1:10">
      <c r="B73" s="308"/>
      <c r="C73" s="308"/>
      <c r="D73" s="308"/>
      <c r="E73" s="308"/>
      <c r="F73" s="308"/>
      <c r="G73" s="308"/>
      <c r="H73" s="308"/>
      <c r="I73" s="308"/>
      <c r="J73" s="308"/>
    </row>
    <row r="74" spans="1:10">
      <c r="A74" s="294" t="s">
        <v>569</v>
      </c>
      <c r="B74" s="295">
        <v>1</v>
      </c>
      <c r="C74" s="239">
        <v>1</v>
      </c>
      <c r="E74" s="294"/>
    </row>
    <row r="75" spans="1:10">
      <c r="A75" s="200" t="s">
        <v>388</v>
      </c>
      <c r="B75" s="201"/>
      <c r="C75" s="201"/>
      <c r="D75" s="201"/>
      <c r="E75" s="305"/>
      <c r="F75" s="201"/>
      <c r="G75" s="201"/>
      <c r="H75" s="201"/>
      <c r="I75" s="201"/>
      <c r="J75" s="202"/>
    </row>
    <row r="76" spans="1:10">
      <c r="A76" s="199"/>
      <c r="B76" s="62">
        <v>2018</v>
      </c>
      <c r="C76" s="62">
        <f t="shared" ref="C76:J76" si="41">B76+1</f>
        <v>2019</v>
      </c>
      <c r="D76" s="62">
        <f t="shared" si="41"/>
        <v>2020</v>
      </c>
      <c r="E76" s="296">
        <f>D76+1</f>
        <v>2021</v>
      </c>
      <c r="F76" s="62">
        <f t="shared" si="41"/>
        <v>2022</v>
      </c>
      <c r="G76" s="62">
        <f t="shared" si="41"/>
        <v>2023</v>
      </c>
      <c r="H76" s="62">
        <f t="shared" si="41"/>
        <v>2024</v>
      </c>
      <c r="I76" s="62">
        <f t="shared" si="41"/>
        <v>2025</v>
      </c>
      <c r="J76" s="203">
        <f t="shared" si="41"/>
        <v>2026</v>
      </c>
    </row>
    <row r="77" spans="1:10">
      <c r="A77" s="223" t="s">
        <v>10</v>
      </c>
      <c r="B77" s="204">
        <f>B56*$B$74</f>
        <v>19546</v>
      </c>
      <c r="C77" s="204">
        <f t="shared" ref="C77:J77" si="42">C56*$B$74</f>
        <v>20018</v>
      </c>
      <c r="D77" s="204">
        <f t="shared" si="42"/>
        <v>20506</v>
      </c>
      <c r="E77" s="306">
        <f t="shared" si="42"/>
        <v>20915.574917717255</v>
      </c>
      <c r="F77" s="204">
        <f t="shared" si="42"/>
        <v>21333.8864160716</v>
      </c>
      <c r="G77" s="204">
        <f t="shared" si="42"/>
        <v>21760.564144393033</v>
      </c>
      <c r="H77" s="204">
        <f t="shared" si="42"/>
        <v>22195.775427280892</v>
      </c>
      <c r="I77" s="204">
        <f t="shared" si="42"/>
        <v>22639.690935826511</v>
      </c>
      <c r="J77" s="205">
        <f t="shared" si="42"/>
        <v>23092.484754543042</v>
      </c>
    </row>
    <row r="78" spans="1:10">
      <c r="A78" s="223" t="s">
        <v>386</v>
      </c>
      <c r="B78" s="204">
        <f>B57*$C$74</f>
        <v>208</v>
      </c>
      <c r="C78" s="204">
        <f t="shared" ref="C78:J78" si="43">C57*$C$74</f>
        <v>213</v>
      </c>
      <c r="D78" s="204">
        <f t="shared" si="43"/>
        <v>218</v>
      </c>
      <c r="E78" s="204">
        <f t="shared" si="43"/>
        <v>222.4930652678413</v>
      </c>
      <c r="F78" s="204">
        <f t="shared" si="43"/>
        <v>226.94292657319812</v>
      </c>
      <c r="G78" s="204">
        <f t="shared" si="43"/>
        <v>231.48178510466212</v>
      </c>
      <c r="H78" s="204">
        <f t="shared" si="43"/>
        <v>236.11142080675532</v>
      </c>
      <c r="I78" s="204">
        <f t="shared" si="43"/>
        <v>240.83364922289044</v>
      </c>
      <c r="J78" s="205">
        <f t="shared" si="43"/>
        <v>245.65032220734827</v>
      </c>
    </row>
    <row r="79" spans="1:10">
      <c r="A79" s="223" t="s">
        <v>362</v>
      </c>
      <c r="B79" s="204">
        <f t="shared" ref="B79:J81" si="44">B58*$C$74</f>
        <v>0</v>
      </c>
      <c r="C79" s="204">
        <f t="shared" si="44"/>
        <v>0</v>
      </c>
      <c r="D79" s="204">
        <f t="shared" si="44"/>
        <v>0</v>
      </c>
      <c r="E79" s="204">
        <f t="shared" si="44"/>
        <v>0</v>
      </c>
      <c r="F79" s="204">
        <f t="shared" si="44"/>
        <v>0</v>
      </c>
      <c r="G79" s="204">
        <f t="shared" si="44"/>
        <v>0</v>
      </c>
      <c r="H79" s="204">
        <f t="shared" si="44"/>
        <v>0</v>
      </c>
      <c r="I79" s="204">
        <f t="shared" si="44"/>
        <v>0</v>
      </c>
      <c r="J79" s="205">
        <f t="shared" si="44"/>
        <v>30.216419733222899</v>
      </c>
    </row>
    <row r="80" spans="1:10">
      <c r="A80" s="223" t="s">
        <v>20</v>
      </c>
      <c r="B80" s="204">
        <f t="shared" si="44"/>
        <v>128</v>
      </c>
      <c r="C80" s="204">
        <f t="shared" si="44"/>
        <v>131</v>
      </c>
      <c r="D80" s="204">
        <f t="shared" si="44"/>
        <v>134</v>
      </c>
      <c r="E80" s="204">
        <f t="shared" si="44"/>
        <v>136.83971157566313</v>
      </c>
      <c r="F80" s="204">
        <f t="shared" si="44"/>
        <v>139.5765058071764</v>
      </c>
      <c r="G80" s="204">
        <f t="shared" si="44"/>
        <v>142.36803592331992</v>
      </c>
      <c r="H80" s="204">
        <f t="shared" si="44"/>
        <v>145.21539664178633</v>
      </c>
      <c r="I80" s="204">
        <f t="shared" si="44"/>
        <v>148.11970457462206</v>
      </c>
      <c r="J80" s="205">
        <f t="shared" si="44"/>
        <v>120.8656789328916</v>
      </c>
    </row>
    <row r="81" spans="1:10">
      <c r="A81" s="223" t="s">
        <v>16</v>
      </c>
      <c r="B81" s="204">
        <f t="shared" si="44"/>
        <v>145</v>
      </c>
      <c r="C81" s="204">
        <f t="shared" si="44"/>
        <v>149</v>
      </c>
      <c r="D81" s="204">
        <f t="shared" si="44"/>
        <v>152</v>
      </c>
      <c r="E81" s="204">
        <f t="shared" si="44"/>
        <v>155.2923054392391</v>
      </c>
      <c r="F81" s="204">
        <f t="shared" si="44"/>
        <v>158.39815154802386</v>
      </c>
      <c r="G81" s="204">
        <f t="shared" si="44"/>
        <v>161.56611457898435</v>
      </c>
      <c r="H81" s="204">
        <f t="shared" si="44"/>
        <v>164.79743687056404</v>
      </c>
      <c r="I81" s="204">
        <f t="shared" si="44"/>
        <v>168.09338560797534</v>
      </c>
      <c r="J81" s="205">
        <f t="shared" si="44"/>
        <v>171.45525332013483</v>
      </c>
    </row>
    <row r="82" spans="1:10">
      <c r="A82" s="224" t="s">
        <v>22</v>
      </c>
      <c r="B82" s="206">
        <f>SUM(B77:B81)</f>
        <v>20027</v>
      </c>
      <c r="C82" s="206">
        <f t="shared" ref="C82:J82" si="45">SUM(C77:C81)</f>
        <v>20511</v>
      </c>
      <c r="D82" s="206">
        <f t="shared" si="45"/>
        <v>21010</v>
      </c>
      <c r="E82" s="307">
        <f t="shared" si="45"/>
        <v>21430.199999999997</v>
      </c>
      <c r="F82" s="206">
        <f t="shared" si="45"/>
        <v>21858.804</v>
      </c>
      <c r="G82" s="206">
        <f t="shared" si="45"/>
        <v>22295.980079999998</v>
      </c>
      <c r="H82" s="206">
        <f t="shared" si="45"/>
        <v>22741.8996816</v>
      </c>
      <c r="I82" s="206">
        <f t="shared" si="45"/>
        <v>23196.737675232001</v>
      </c>
      <c r="J82" s="287">
        <f t="shared" si="45"/>
        <v>23660.672428736641</v>
      </c>
    </row>
  </sheetData>
  <mergeCells count="10">
    <mergeCell ref="H3:I3"/>
    <mergeCell ref="J3:K3"/>
    <mergeCell ref="Q3:R3"/>
    <mergeCell ref="F3:G3"/>
    <mergeCell ref="O3:P3"/>
    <mergeCell ref="S3:T3"/>
    <mergeCell ref="U3:V3"/>
    <mergeCell ref="W3:X3"/>
    <mergeCell ref="Y3:Z3"/>
    <mergeCell ref="L2:N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L41"/>
  <sheetViews>
    <sheetView topLeftCell="A25" zoomScale="120" zoomScaleNormal="120" workbookViewId="0">
      <selection activeCell="I19" sqref="I19"/>
    </sheetView>
  </sheetViews>
  <sheetFormatPr defaultColWidth="8.85546875" defaultRowHeight="15"/>
  <cols>
    <col min="1" max="1" width="8.85546875" style="149"/>
    <col min="2" max="2" width="22.140625" style="149" customWidth="1"/>
    <col min="3" max="3" width="13.28515625" style="149" customWidth="1"/>
    <col min="4" max="4" width="10.28515625" style="149" customWidth="1"/>
    <col min="5" max="5" width="19.85546875" style="149" customWidth="1"/>
    <col min="6" max="6" width="13.7109375" style="149" customWidth="1"/>
    <col min="7" max="7" width="10" style="149" customWidth="1"/>
    <col min="8" max="8" width="8.85546875" style="149"/>
    <col min="9" max="9" width="8.5703125" style="149" bestFit="1" customWidth="1"/>
    <col min="10" max="10" width="16.140625" style="149" bestFit="1" customWidth="1"/>
    <col min="11" max="11" width="12.140625" style="149" bestFit="1" customWidth="1"/>
    <col min="12" max="16384" width="8.85546875" style="149"/>
  </cols>
  <sheetData>
    <row r="2" spans="2:12">
      <c r="B2" s="1993" t="s">
        <v>380</v>
      </c>
      <c r="C2" s="1993"/>
      <c r="D2" s="1993"/>
      <c r="E2" s="1994" t="s">
        <v>381</v>
      </c>
      <c r="F2" s="1995"/>
      <c r="G2" s="1996"/>
      <c r="I2" s="377"/>
    </row>
    <row r="3" spans="2:12">
      <c r="B3" s="173" t="s">
        <v>369</v>
      </c>
      <c r="C3" s="1991"/>
      <c r="D3" s="1992"/>
      <c r="E3" s="174" t="s">
        <v>369</v>
      </c>
      <c r="F3" s="174"/>
      <c r="G3" s="174"/>
      <c r="I3" s="377"/>
    </row>
    <row r="4" spans="2:12" ht="18.75" customHeight="1">
      <c r="B4" s="175" t="s">
        <v>481</v>
      </c>
      <c r="C4" s="378" t="s">
        <v>371</v>
      </c>
      <c r="D4" s="177" t="s">
        <v>372</v>
      </c>
      <c r="E4" s="174" t="s">
        <v>481</v>
      </c>
      <c r="F4" s="178" t="s">
        <v>371</v>
      </c>
      <c r="G4" s="179" t="s">
        <v>372</v>
      </c>
      <c r="I4" s="149">
        <v>1000</v>
      </c>
    </row>
    <row r="5" spans="2:12">
      <c r="B5" s="180" t="s">
        <v>10</v>
      </c>
      <c r="C5" s="378"/>
      <c r="D5" s="177"/>
      <c r="E5" s="181" t="s">
        <v>10</v>
      </c>
      <c r="F5" s="181"/>
      <c r="G5" s="181"/>
      <c r="I5" s="149" t="s">
        <v>1055</v>
      </c>
      <c r="J5" s="149" t="s">
        <v>1056</v>
      </c>
      <c r="K5" s="239" t="s">
        <v>1057</v>
      </c>
      <c r="L5" s="194"/>
    </row>
    <row r="6" spans="2:12" ht="17.25">
      <c r="B6" s="177" t="s">
        <v>382</v>
      </c>
      <c r="C6" s="263">
        <v>0.1</v>
      </c>
      <c r="D6" s="1740">
        <v>0.44</v>
      </c>
      <c r="E6" s="179" t="s">
        <v>889</v>
      </c>
      <c r="F6" s="183">
        <v>0.1</v>
      </c>
      <c r="G6" s="1740">
        <f>'Consumption pattern 2020.21'!C22</f>
        <v>9.4277407059486742E-2</v>
      </c>
      <c r="I6" s="149">
        <v>70</v>
      </c>
      <c r="J6" s="149">
        <f>D6*$I$4*I6</f>
        <v>30800</v>
      </c>
      <c r="K6" s="240">
        <f>G6*$I$4*I6</f>
        <v>6599.4184941640724</v>
      </c>
      <c r="L6" s="194"/>
    </row>
    <row r="7" spans="2:12" ht="17.25" customHeight="1">
      <c r="B7" s="262" t="s">
        <v>480</v>
      </c>
      <c r="C7" s="263">
        <v>0.61</v>
      </c>
      <c r="D7" s="1740">
        <v>0.47</v>
      </c>
      <c r="E7" s="179" t="s">
        <v>480</v>
      </c>
      <c r="F7" s="183">
        <v>0.61</v>
      </c>
      <c r="G7" s="1740">
        <f>'Consumption pattern 2020.21'!C23</f>
        <v>0.6055998786115161</v>
      </c>
      <c r="I7" s="149">
        <v>105</v>
      </c>
      <c r="J7" s="149">
        <f>D7*$I$4*I7</f>
        <v>49350</v>
      </c>
      <c r="K7" s="240">
        <f t="shared" ref="K7:K11" si="0">G7*$I$4*I7</f>
        <v>63587.987254209198</v>
      </c>
      <c r="L7" s="194"/>
    </row>
    <row r="8" spans="2:12">
      <c r="B8" s="177" t="s">
        <v>476</v>
      </c>
      <c r="C8" s="263">
        <v>0.17</v>
      </c>
      <c r="D8" s="1740">
        <v>0.05</v>
      </c>
      <c r="E8" s="179" t="s">
        <v>476</v>
      </c>
      <c r="F8" s="183">
        <v>0.17</v>
      </c>
      <c r="G8" s="1740">
        <f>'Consumption pattern 2020.21'!C24</f>
        <v>0.18445353330351</v>
      </c>
      <c r="I8" s="149">
        <v>125</v>
      </c>
      <c r="J8" s="149">
        <f t="shared" ref="J8:J11" si="1">D8*$I$4*I8</f>
        <v>6250</v>
      </c>
      <c r="K8" s="240">
        <f t="shared" si="0"/>
        <v>23056.691662938749</v>
      </c>
      <c r="L8" s="194"/>
    </row>
    <row r="9" spans="2:12">
      <c r="B9" s="177" t="s">
        <v>477</v>
      </c>
      <c r="C9" s="263">
        <v>7.0000000000000007E-2</v>
      </c>
      <c r="D9" s="1740">
        <v>0.02</v>
      </c>
      <c r="E9" s="179" t="s">
        <v>477</v>
      </c>
      <c r="F9" s="183">
        <v>7.0000000000000007E-2</v>
      </c>
      <c r="G9" s="1740">
        <f>'Consumption pattern 2020.21'!C25</f>
        <v>6.4090369601416591E-2</v>
      </c>
      <c r="I9" s="149">
        <v>130</v>
      </c>
      <c r="J9" s="149">
        <f t="shared" si="1"/>
        <v>2600</v>
      </c>
      <c r="K9" s="240">
        <f t="shared" si="0"/>
        <v>8331.7480481841576</v>
      </c>
      <c r="L9" s="194"/>
    </row>
    <row r="10" spans="2:12">
      <c r="B10" s="177" t="s">
        <v>478</v>
      </c>
      <c r="C10" s="263">
        <v>0.03</v>
      </c>
      <c r="D10" s="1740">
        <v>0.01</v>
      </c>
      <c r="E10" s="179" t="s">
        <v>478</v>
      </c>
      <c r="F10" s="183">
        <v>0.03</v>
      </c>
      <c r="G10" s="1740">
        <f>'Consumption pattern 2020.21'!C26</f>
        <v>4.078250395175495E-2</v>
      </c>
      <c r="I10" s="149">
        <v>135</v>
      </c>
      <c r="J10" s="149">
        <f t="shared" si="1"/>
        <v>1350</v>
      </c>
      <c r="K10" s="240">
        <f t="shared" si="0"/>
        <v>5505.6380334869182</v>
      </c>
      <c r="L10" s="194"/>
    </row>
    <row r="11" spans="2:12">
      <c r="B11" s="177" t="s">
        <v>479</v>
      </c>
      <c r="C11" s="263">
        <v>0.02</v>
      </c>
      <c r="D11" s="1740">
        <v>0.01</v>
      </c>
      <c r="E11" s="179" t="s">
        <v>479</v>
      </c>
      <c r="F11" s="183">
        <v>0.02</v>
      </c>
      <c r="G11" s="1740">
        <f>'Consumption pattern 2020.21'!C27</f>
        <v>1.0796307472315619E-2</v>
      </c>
      <c r="I11" s="149">
        <v>140</v>
      </c>
      <c r="J11" s="149">
        <f t="shared" si="1"/>
        <v>1400</v>
      </c>
      <c r="K11" s="240">
        <f t="shared" si="0"/>
        <v>1511.4830461241866</v>
      </c>
    </row>
    <row r="12" spans="2:12">
      <c r="B12" s="184" t="s">
        <v>481</v>
      </c>
      <c r="C12" s="177"/>
      <c r="D12" s="177"/>
      <c r="E12" s="174" t="s">
        <v>481</v>
      </c>
      <c r="F12" s="191"/>
      <c r="G12" s="191"/>
      <c r="J12" s="240">
        <f>SUM(J6:J11)</f>
        <v>91750</v>
      </c>
      <c r="K12" s="1741">
        <f>SUM(K6:K11)</f>
        <v>108592.96653910728</v>
      </c>
    </row>
    <row r="13" spans="2:12">
      <c r="B13" s="185" t="s">
        <v>374</v>
      </c>
      <c r="C13" s="177"/>
      <c r="D13" s="177"/>
      <c r="E13" s="186" t="s">
        <v>374</v>
      </c>
      <c r="F13" s="192"/>
      <c r="G13" s="192"/>
      <c r="K13" s="1741">
        <f>K12-J12</f>
        <v>16842.966539107278</v>
      </c>
    </row>
    <row r="14" spans="2:12" ht="17.25">
      <c r="B14" s="177" t="s">
        <v>382</v>
      </c>
      <c r="C14" s="187">
        <v>0.14000000000000001</v>
      </c>
      <c r="D14" s="172">
        <v>0.24</v>
      </c>
      <c r="E14" s="179" t="s">
        <v>890</v>
      </c>
      <c r="F14" s="183">
        <v>0.64</v>
      </c>
      <c r="G14" s="183">
        <f>'Consumption pattern 2020.21'!F22</f>
        <v>0.13489009286860024</v>
      </c>
    </row>
    <row r="15" spans="2:12">
      <c r="B15" s="262" t="s">
        <v>480</v>
      </c>
      <c r="C15" s="187">
        <v>0.2</v>
      </c>
      <c r="D15" s="169">
        <v>0.34</v>
      </c>
      <c r="E15" s="179" t="s">
        <v>477</v>
      </c>
      <c r="F15" s="183">
        <v>0.25</v>
      </c>
      <c r="G15" s="183">
        <f>'Consumption pattern 2020.21'!F23</f>
        <v>7.2911144920452434E-2</v>
      </c>
    </row>
    <row r="16" spans="2:12">
      <c r="B16" s="177" t="s">
        <v>476</v>
      </c>
      <c r="C16" s="187">
        <v>0.3</v>
      </c>
      <c r="D16" s="169">
        <v>0.16</v>
      </c>
      <c r="E16" s="179" t="s">
        <v>478</v>
      </c>
      <c r="F16" s="183">
        <v>0.1</v>
      </c>
      <c r="G16" s="183">
        <f>'Consumption pattern 2020.21'!F24</f>
        <v>0.13931666884668076</v>
      </c>
    </row>
    <row r="17" spans="2:7">
      <c r="B17" s="177" t="s">
        <v>477</v>
      </c>
      <c r="C17" s="187">
        <v>0.25</v>
      </c>
      <c r="D17" s="169">
        <v>0.21</v>
      </c>
      <c r="E17" s="179" t="s">
        <v>479</v>
      </c>
      <c r="F17" s="183">
        <v>0.01</v>
      </c>
      <c r="G17" s="183">
        <f>'Consumption pattern 2020.21'!F25</f>
        <v>0.65288209336426661</v>
      </c>
    </row>
    <row r="18" spans="2:7">
      <c r="B18" s="177" t="s">
        <v>478</v>
      </c>
      <c r="C18" s="187">
        <v>0.1</v>
      </c>
      <c r="D18" s="169">
        <v>0.04</v>
      </c>
      <c r="E18" s="179"/>
      <c r="F18" s="183"/>
      <c r="G18" s="183"/>
    </row>
    <row r="19" spans="2:7">
      <c r="B19" s="177" t="s">
        <v>479</v>
      </c>
      <c r="C19" s="187">
        <v>0.01</v>
      </c>
      <c r="D19" s="169">
        <v>0.01</v>
      </c>
      <c r="E19" s="179"/>
      <c r="F19" s="183"/>
      <c r="G19" s="183"/>
    </row>
    <row r="20" spans="2:7">
      <c r="B20" s="184" t="s">
        <v>481</v>
      </c>
      <c r="C20" s="177"/>
      <c r="D20" s="177"/>
      <c r="E20" s="174" t="s">
        <v>481</v>
      </c>
      <c r="F20" s="191"/>
      <c r="G20" s="191"/>
    </row>
    <row r="21" spans="2:7">
      <c r="B21" s="185" t="s">
        <v>375</v>
      </c>
      <c r="C21" s="177"/>
      <c r="D21" s="177"/>
      <c r="E21" s="186" t="s">
        <v>375</v>
      </c>
      <c r="F21" s="192"/>
      <c r="G21" s="192"/>
    </row>
    <row r="22" spans="2:7" ht="17.25">
      <c r="B22" s="177" t="s">
        <v>382</v>
      </c>
      <c r="C22" s="187">
        <v>0.14000000000000001</v>
      </c>
      <c r="D22" s="172">
        <v>0.24</v>
      </c>
      <c r="E22" s="179" t="s">
        <v>890</v>
      </c>
      <c r="F22" s="183">
        <v>0.64</v>
      </c>
      <c r="G22" s="183">
        <f>'Consumption pattern 2020.21'!M22</f>
        <v>0.1347189836777358</v>
      </c>
    </row>
    <row r="23" spans="2:7">
      <c r="B23" s="262" t="s">
        <v>480</v>
      </c>
      <c r="C23" s="187">
        <v>0.2</v>
      </c>
      <c r="D23" s="169">
        <v>0.28999999999999998</v>
      </c>
      <c r="E23" s="179" t="s">
        <v>477</v>
      </c>
      <c r="F23" s="183">
        <v>0.25</v>
      </c>
      <c r="G23" s="183">
        <f>'Consumption pattern 2020.21'!M23</f>
        <v>9.5454423628420576E-2</v>
      </c>
    </row>
    <row r="24" spans="2:7">
      <c r="B24" s="177" t="s">
        <v>476</v>
      </c>
      <c r="C24" s="187">
        <v>0.3</v>
      </c>
      <c r="D24" s="169">
        <v>0.22</v>
      </c>
      <c r="E24" s="179" t="s">
        <v>478</v>
      </c>
      <c r="F24" s="183">
        <v>0.1</v>
      </c>
      <c r="G24" s="183">
        <f>'Consumption pattern 2020.21'!M24</f>
        <v>0.15566454932861623</v>
      </c>
    </row>
    <row r="25" spans="2:7">
      <c r="B25" s="177" t="s">
        <v>477</v>
      </c>
      <c r="C25" s="187">
        <v>0.25</v>
      </c>
      <c r="D25" s="169">
        <v>0.16</v>
      </c>
      <c r="E25" s="179" t="s">
        <v>479</v>
      </c>
      <c r="F25" s="183">
        <v>0.01</v>
      </c>
      <c r="G25" s="183">
        <f>'Consumption pattern 2020.21'!M25</f>
        <v>0.61416204336522739</v>
      </c>
    </row>
    <row r="26" spans="2:7">
      <c r="B26" s="177" t="s">
        <v>478</v>
      </c>
      <c r="C26" s="187">
        <v>0.1</v>
      </c>
      <c r="D26" s="169">
        <v>0.06</v>
      </c>
      <c r="E26" s="179"/>
      <c r="F26" s="183"/>
      <c r="G26" s="183"/>
    </row>
    <row r="27" spans="2:7">
      <c r="B27" s="177" t="s">
        <v>479</v>
      </c>
      <c r="C27" s="187">
        <v>0.01</v>
      </c>
      <c r="D27" s="169">
        <v>0.03</v>
      </c>
      <c r="E27" s="179"/>
      <c r="F27" s="183"/>
      <c r="G27" s="183"/>
    </row>
    <row r="28" spans="2:7">
      <c r="B28" s="184" t="s">
        <v>481</v>
      </c>
      <c r="C28" s="177"/>
      <c r="D28" s="177"/>
      <c r="E28" s="174" t="s">
        <v>481</v>
      </c>
      <c r="F28" s="192"/>
      <c r="G28" s="192"/>
    </row>
    <row r="29" spans="2:7">
      <c r="B29" s="185" t="s">
        <v>26</v>
      </c>
      <c r="C29" s="177"/>
      <c r="D29" s="177"/>
      <c r="E29" s="186" t="s">
        <v>26</v>
      </c>
      <c r="F29" s="192"/>
      <c r="G29" s="192"/>
    </row>
    <row r="30" spans="2:7" ht="17.25">
      <c r="B30" s="177" t="s">
        <v>383</v>
      </c>
      <c r="C30" s="187">
        <v>0.92</v>
      </c>
      <c r="D30" s="172">
        <v>0.7</v>
      </c>
      <c r="E30" s="179" t="s">
        <v>891</v>
      </c>
      <c r="F30" s="183">
        <v>0.95</v>
      </c>
      <c r="G30" s="183">
        <v>0.95</v>
      </c>
    </row>
    <row r="31" spans="2:7" ht="17.25">
      <c r="B31" s="177" t="s">
        <v>384</v>
      </c>
      <c r="C31" s="187">
        <v>0.06</v>
      </c>
      <c r="D31" s="172">
        <v>0.25</v>
      </c>
      <c r="E31" s="179" t="s">
        <v>384</v>
      </c>
      <c r="F31" s="183">
        <v>0.03</v>
      </c>
      <c r="G31" s="183">
        <v>0.04</v>
      </c>
    </row>
    <row r="32" spans="2:7">
      <c r="B32" s="177" t="s">
        <v>379</v>
      </c>
      <c r="C32" s="187">
        <v>0.02</v>
      </c>
      <c r="D32" s="172">
        <v>0.05</v>
      </c>
      <c r="E32" s="179" t="s">
        <v>379</v>
      </c>
      <c r="F32" s="183">
        <v>0.02</v>
      </c>
      <c r="G32" s="183">
        <v>0.01</v>
      </c>
    </row>
    <row r="33" spans="2:7">
      <c r="B33" s="177"/>
      <c r="C33" s="187"/>
      <c r="D33" s="171"/>
      <c r="E33" s="179"/>
      <c r="F33" s="183"/>
      <c r="G33" s="183"/>
    </row>
    <row r="34" spans="2:7">
      <c r="B34" s="177"/>
      <c r="C34" s="187"/>
      <c r="D34" s="171"/>
      <c r="E34" s="179"/>
      <c r="F34" s="183"/>
      <c r="G34" s="183"/>
    </row>
    <row r="35" spans="2:7">
      <c r="B35" s="177"/>
      <c r="C35" s="187"/>
      <c r="D35" s="171"/>
      <c r="E35" s="179"/>
      <c r="F35" s="183"/>
      <c r="G35" s="183"/>
    </row>
    <row r="36" spans="2:7">
      <c r="B36" s="184" t="s">
        <v>481</v>
      </c>
      <c r="C36" s="187"/>
      <c r="D36" s="171"/>
      <c r="E36" s="174" t="s">
        <v>481</v>
      </c>
      <c r="F36" s="191"/>
      <c r="G36" s="191"/>
    </row>
    <row r="37" spans="2:7">
      <c r="B37" s="185" t="s">
        <v>16</v>
      </c>
      <c r="C37" s="177"/>
      <c r="D37" s="177"/>
      <c r="E37" s="186" t="s">
        <v>16</v>
      </c>
      <c r="F37" s="192"/>
      <c r="G37" s="192"/>
    </row>
    <row r="38" spans="2:7">
      <c r="B38" s="189" t="s">
        <v>11</v>
      </c>
      <c r="C38" s="177"/>
      <c r="D38" s="177"/>
      <c r="E38" s="190" t="s">
        <v>11</v>
      </c>
      <c r="F38" s="193"/>
      <c r="G38" s="193"/>
    </row>
    <row r="39" spans="2:7">
      <c r="B39" s="189"/>
      <c r="C39" s="177"/>
      <c r="D39" s="177"/>
      <c r="E39" s="190"/>
      <c r="F39" s="193"/>
      <c r="G39" s="193"/>
    </row>
    <row r="41" spans="2:7" ht="15" customHeight="1"/>
  </sheetData>
  <mergeCells count="3">
    <mergeCell ref="C3:D3"/>
    <mergeCell ref="B2:D2"/>
    <mergeCell ref="E2:G2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AA5A1-6A18-42C8-AF2C-5DEFBDCD58DE}">
  <dimension ref="A1:J22"/>
  <sheetViews>
    <sheetView workbookViewId="0">
      <selection activeCell="I17" sqref="I17"/>
    </sheetView>
  </sheetViews>
  <sheetFormatPr defaultRowHeight="15"/>
  <cols>
    <col min="1" max="1" width="11.140625" style="377" bestFit="1" customWidth="1"/>
    <col min="2" max="2" width="14.140625" style="377" customWidth="1"/>
    <col min="3" max="3" width="15" style="377" bestFit="1" customWidth="1"/>
    <col min="4" max="4" width="13.28515625" style="377" bestFit="1" customWidth="1"/>
    <col min="5" max="5" width="15" style="377" bestFit="1" customWidth="1"/>
    <col min="6" max="6" width="15" style="377" customWidth="1"/>
    <col min="7" max="7" width="15" style="377" bestFit="1" customWidth="1"/>
    <col min="8" max="8" width="13.28515625" style="377" bestFit="1" customWidth="1"/>
    <col min="9" max="9" width="15" style="377" bestFit="1" customWidth="1"/>
    <col min="10" max="256" width="9.140625" style="377"/>
    <col min="257" max="257" width="11.140625" style="377" bestFit="1" customWidth="1"/>
    <col min="258" max="258" width="14.140625" style="377" customWidth="1"/>
    <col min="259" max="259" width="15" style="377" bestFit="1" customWidth="1"/>
    <col min="260" max="260" width="13.28515625" style="377" bestFit="1" customWidth="1"/>
    <col min="261" max="261" width="15" style="377" bestFit="1" customWidth="1"/>
    <col min="262" max="262" width="15" style="377" customWidth="1"/>
    <col min="263" max="263" width="15" style="377" bestFit="1" customWidth="1"/>
    <col min="264" max="264" width="13.28515625" style="377" bestFit="1" customWidth="1"/>
    <col min="265" max="265" width="15" style="377" bestFit="1" customWidth="1"/>
    <col min="266" max="512" width="9.140625" style="377"/>
    <col min="513" max="513" width="11.140625" style="377" bestFit="1" customWidth="1"/>
    <col min="514" max="514" width="14.140625" style="377" customWidth="1"/>
    <col min="515" max="515" width="15" style="377" bestFit="1" customWidth="1"/>
    <col min="516" max="516" width="13.28515625" style="377" bestFit="1" customWidth="1"/>
    <col min="517" max="517" width="15" style="377" bestFit="1" customWidth="1"/>
    <col min="518" max="518" width="15" style="377" customWidth="1"/>
    <col min="519" max="519" width="15" style="377" bestFit="1" customWidth="1"/>
    <col min="520" max="520" width="13.28515625" style="377" bestFit="1" customWidth="1"/>
    <col min="521" max="521" width="15" style="377" bestFit="1" customWidth="1"/>
    <col min="522" max="768" width="9.140625" style="377"/>
    <col min="769" max="769" width="11.140625" style="377" bestFit="1" customWidth="1"/>
    <col min="770" max="770" width="14.140625" style="377" customWidth="1"/>
    <col min="771" max="771" width="15" style="377" bestFit="1" customWidth="1"/>
    <col min="772" max="772" width="13.28515625" style="377" bestFit="1" customWidth="1"/>
    <col min="773" max="773" width="15" style="377" bestFit="1" customWidth="1"/>
    <col min="774" max="774" width="15" style="377" customWidth="1"/>
    <col min="775" max="775" width="15" style="377" bestFit="1" customWidth="1"/>
    <col min="776" max="776" width="13.28515625" style="377" bestFit="1" customWidth="1"/>
    <col min="777" max="777" width="15" style="377" bestFit="1" customWidth="1"/>
    <col min="778" max="1024" width="9.140625" style="377"/>
    <col min="1025" max="1025" width="11.140625" style="377" bestFit="1" customWidth="1"/>
    <col min="1026" max="1026" width="14.140625" style="377" customWidth="1"/>
    <col min="1027" max="1027" width="15" style="377" bestFit="1" customWidth="1"/>
    <col min="1028" max="1028" width="13.28515625" style="377" bestFit="1" customWidth="1"/>
    <col min="1029" max="1029" width="15" style="377" bestFit="1" customWidth="1"/>
    <col min="1030" max="1030" width="15" style="377" customWidth="1"/>
    <col min="1031" max="1031" width="15" style="377" bestFit="1" customWidth="1"/>
    <col min="1032" max="1032" width="13.28515625" style="377" bestFit="1" customWidth="1"/>
    <col min="1033" max="1033" width="15" style="377" bestFit="1" customWidth="1"/>
    <col min="1034" max="1280" width="9.140625" style="377"/>
    <col min="1281" max="1281" width="11.140625" style="377" bestFit="1" customWidth="1"/>
    <col min="1282" max="1282" width="14.140625" style="377" customWidth="1"/>
    <col min="1283" max="1283" width="15" style="377" bestFit="1" customWidth="1"/>
    <col min="1284" max="1284" width="13.28515625" style="377" bestFit="1" customWidth="1"/>
    <col min="1285" max="1285" width="15" style="377" bestFit="1" customWidth="1"/>
    <col min="1286" max="1286" width="15" style="377" customWidth="1"/>
    <col min="1287" max="1287" width="15" style="377" bestFit="1" customWidth="1"/>
    <col min="1288" max="1288" width="13.28515625" style="377" bestFit="1" customWidth="1"/>
    <col min="1289" max="1289" width="15" style="377" bestFit="1" customWidth="1"/>
    <col min="1290" max="1536" width="9.140625" style="377"/>
    <col min="1537" max="1537" width="11.140625" style="377" bestFit="1" customWidth="1"/>
    <col min="1538" max="1538" width="14.140625" style="377" customWidth="1"/>
    <col min="1539" max="1539" width="15" style="377" bestFit="1" customWidth="1"/>
    <col min="1540" max="1540" width="13.28515625" style="377" bestFit="1" customWidth="1"/>
    <col min="1541" max="1541" width="15" style="377" bestFit="1" customWidth="1"/>
    <col min="1542" max="1542" width="15" style="377" customWidth="1"/>
    <col min="1543" max="1543" width="15" style="377" bestFit="1" customWidth="1"/>
    <col min="1544" max="1544" width="13.28515625" style="377" bestFit="1" customWidth="1"/>
    <col min="1545" max="1545" width="15" style="377" bestFit="1" customWidth="1"/>
    <col min="1546" max="1792" width="9.140625" style="377"/>
    <col min="1793" max="1793" width="11.140625" style="377" bestFit="1" customWidth="1"/>
    <col min="1794" max="1794" width="14.140625" style="377" customWidth="1"/>
    <col min="1795" max="1795" width="15" style="377" bestFit="1" customWidth="1"/>
    <col min="1796" max="1796" width="13.28515625" style="377" bestFit="1" customWidth="1"/>
    <col min="1797" max="1797" width="15" style="377" bestFit="1" customWidth="1"/>
    <col min="1798" max="1798" width="15" style="377" customWidth="1"/>
    <col min="1799" max="1799" width="15" style="377" bestFit="1" customWidth="1"/>
    <col min="1800" max="1800" width="13.28515625" style="377" bestFit="1" customWidth="1"/>
    <col min="1801" max="1801" width="15" style="377" bestFit="1" customWidth="1"/>
    <col min="1802" max="2048" width="9.140625" style="377"/>
    <col min="2049" max="2049" width="11.140625" style="377" bestFit="1" customWidth="1"/>
    <col min="2050" max="2050" width="14.140625" style="377" customWidth="1"/>
    <col min="2051" max="2051" width="15" style="377" bestFit="1" customWidth="1"/>
    <col min="2052" max="2052" width="13.28515625" style="377" bestFit="1" customWidth="1"/>
    <col min="2053" max="2053" width="15" style="377" bestFit="1" customWidth="1"/>
    <col min="2054" max="2054" width="15" style="377" customWidth="1"/>
    <col min="2055" max="2055" width="15" style="377" bestFit="1" customWidth="1"/>
    <col min="2056" max="2056" width="13.28515625" style="377" bestFit="1" customWidth="1"/>
    <col min="2057" max="2057" width="15" style="377" bestFit="1" customWidth="1"/>
    <col min="2058" max="2304" width="9.140625" style="377"/>
    <col min="2305" max="2305" width="11.140625" style="377" bestFit="1" customWidth="1"/>
    <col min="2306" max="2306" width="14.140625" style="377" customWidth="1"/>
    <col min="2307" max="2307" width="15" style="377" bestFit="1" customWidth="1"/>
    <col min="2308" max="2308" width="13.28515625" style="377" bestFit="1" customWidth="1"/>
    <col min="2309" max="2309" width="15" style="377" bestFit="1" customWidth="1"/>
    <col min="2310" max="2310" width="15" style="377" customWidth="1"/>
    <col min="2311" max="2311" width="15" style="377" bestFit="1" customWidth="1"/>
    <col min="2312" max="2312" width="13.28515625" style="377" bestFit="1" customWidth="1"/>
    <col min="2313" max="2313" width="15" style="377" bestFit="1" customWidth="1"/>
    <col min="2314" max="2560" width="9.140625" style="377"/>
    <col min="2561" max="2561" width="11.140625" style="377" bestFit="1" customWidth="1"/>
    <col min="2562" max="2562" width="14.140625" style="377" customWidth="1"/>
    <col min="2563" max="2563" width="15" style="377" bestFit="1" customWidth="1"/>
    <col min="2564" max="2564" width="13.28515625" style="377" bestFit="1" customWidth="1"/>
    <col min="2565" max="2565" width="15" style="377" bestFit="1" customWidth="1"/>
    <col min="2566" max="2566" width="15" style="377" customWidth="1"/>
    <col min="2567" max="2567" width="15" style="377" bestFit="1" customWidth="1"/>
    <col min="2568" max="2568" width="13.28515625" style="377" bestFit="1" customWidth="1"/>
    <col min="2569" max="2569" width="15" style="377" bestFit="1" customWidth="1"/>
    <col min="2570" max="2816" width="9.140625" style="377"/>
    <col min="2817" max="2817" width="11.140625" style="377" bestFit="1" customWidth="1"/>
    <col min="2818" max="2818" width="14.140625" style="377" customWidth="1"/>
    <col min="2819" max="2819" width="15" style="377" bestFit="1" customWidth="1"/>
    <col min="2820" max="2820" width="13.28515625" style="377" bestFit="1" customWidth="1"/>
    <col min="2821" max="2821" width="15" style="377" bestFit="1" customWidth="1"/>
    <col min="2822" max="2822" width="15" style="377" customWidth="1"/>
    <col min="2823" max="2823" width="15" style="377" bestFit="1" customWidth="1"/>
    <col min="2824" max="2824" width="13.28515625" style="377" bestFit="1" customWidth="1"/>
    <col min="2825" max="2825" width="15" style="377" bestFit="1" customWidth="1"/>
    <col min="2826" max="3072" width="9.140625" style="377"/>
    <col min="3073" max="3073" width="11.140625" style="377" bestFit="1" customWidth="1"/>
    <col min="3074" max="3074" width="14.140625" style="377" customWidth="1"/>
    <col min="3075" max="3075" width="15" style="377" bestFit="1" customWidth="1"/>
    <col min="3076" max="3076" width="13.28515625" style="377" bestFit="1" customWidth="1"/>
    <col min="3077" max="3077" width="15" style="377" bestFit="1" customWidth="1"/>
    <col min="3078" max="3078" width="15" style="377" customWidth="1"/>
    <col min="3079" max="3079" width="15" style="377" bestFit="1" customWidth="1"/>
    <col min="3080" max="3080" width="13.28515625" style="377" bestFit="1" customWidth="1"/>
    <col min="3081" max="3081" width="15" style="377" bestFit="1" customWidth="1"/>
    <col min="3082" max="3328" width="9.140625" style="377"/>
    <col min="3329" max="3329" width="11.140625" style="377" bestFit="1" customWidth="1"/>
    <col min="3330" max="3330" width="14.140625" style="377" customWidth="1"/>
    <col min="3331" max="3331" width="15" style="377" bestFit="1" customWidth="1"/>
    <col min="3332" max="3332" width="13.28515625" style="377" bestFit="1" customWidth="1"/>
    <col min="3333" max="3333" width="15" style="377" bestFit="1" customWidth="1"/>
    <col min="3334" max="3334" width="15" style="377" customWidth="1"/>
    <col min="3335" max="3335" width="15" style="377" bestFit="1" customWidth="1"/>
    <col min="3336" max="3336" width="13.28515625" style="377" bestFit="1" customWidth="1"/>
    <col min="3337" max="3337" width="15" style="377" bestFit="1" customWidth="1"/>
    <col min="3338" max="3584" width="9.140625" style="377"/>
    <col min="3585" max="3585" width="11.140625" style="377" bestFit="1" customWidth="1"/>
    <col min="3586" max="3586" width="14.140625" style="377" customWidth="1"/>
    <col min="3587" max="3587" width="15" style="377" bestFit="1" customWidth="1"/>
    <col min="3588" max="3588" width="13.28515625" style="377" bestFit="1" customWidth="1"/>
    <col min="3589" max="3589" width="15" style="377" bestFit="1" customWidth="1"/>
    <col min="3590" max="3590" width="15" style="377" customWidth="1"/>
    <col min="3591" max="3591" width="15" style="377" bestFit="1" customWidth="1"/>
    <col min="3592" max="3592" width="13.28515625" style="377" bestFit="1" customWidth="1"/>
    <col min="3593" max="3593" width="15" style="377" bestFit="1" customWidth="1"/>
    <col min="3594" max="3840" width="9.140625" style="377"/>
    <col min="3841" max="3841" width="11.140625" style="377" bestFit="1" customWidth="1"/>
    <col min="3842" max="3842" width="14.140625" style="377" customWidth="1"/>
    <col min="3843" max="3843" width="15" style="377" bestFit="1" customWidth="1"/>
    <col min="3844" max="3844" width="13.28515625" style="377" bestFit="1" customWidth="1"/>
    <col min="3845" max="3845" width="15" style="377" bestFit="1" customWidth="1"/>
    <col min="3846" max="3846" width="15" style="377" customWidth="1"/>
    <col min="3847" max="3847" width="15" style="377" bestFit="1" customWidth="1"/>
    <col min="3848" max="3848" width="13.28515625" style="377" bestFit="1" customWidth="1"/>
    <col min="3849" max="3849" width="15" style="377" bestFit="1" customWidth="1"/>
    <col min="3850" max="4096" width="9.140625" style="377"/>
    <col min="4097" max="4097" width="11.140625" style="377" bestFit="1" customWidth="1"/>
    <col min="4098" max="4098" width="14.140625" style="377" customWidth="1"/>
    <col min="4099" max="4099" width="15" style="377" bestFit="1" customWidth="1"/>
    <col min="4100" max="4100" width="13.28515625" style="377" bestFit="1" customWidth="1"/>
    <col min="4101" max="4101" width="15" style="377" bestFit="1" customWidth="1"/>
    <col min="4102" max="4102" width="15" style="377" customWidth="1"/>
    <col min="4103" max="4103" width="15" style="377" bestFit="1" customWidth="1"/>
    <col min="4104" max="4104" width="13.28515625" style="377" bestFit="1" customWidth="1"/>
    <col min="4105" max="4105" width="15" style="377" bestFit="1" customWidth="1"/>
    <col min="4106" max="4352" width="9.140625" style="377"/>
    <col min="4353" max="4353" width="11.140625" style="377" bestFit="1" customWidth="1"/>
    <col min="4354" max="4354" width="14.140625" style="377" customWidth="1"/>
    <col min="4355" max="4355" width="15" style="377" bestFit="1" customWidth="1"/>
    <col min="4356" max="4356" width="13.28515625" style="377" bestFit="1" customWidth="1"/>
    <col min="4357" max="4357" width="15" style="377" bestFit="1" customWidth="1"/>
    <col min="4358" max="4358" width="15" style="377" customWidth="1"/>
    <col min="4359" max="4359" width="15" style="377" bestFit="1" customWidth="1"/>
    <col min="4360" max="4360" width="13.28515625" style="377" bestFit="1" customWidth="1"/>
    <col min="4361" max="4361" width="15" style="377" bestFit="1" customWidth="1"/>
    <col min="4362" max="4608" width="9.140625" style="377"/>
    <col min="4609" max="4609" width="11.140625" style="377" bestFit="1" customWidth="1"/>
    <col min="4610" max="4610" width="14.140625" style="377" customWidth="1"/>
    <col min="4611" max="4611" width="15" style="377" bestFit="1" customWidth="1"/>
    <col min="4612" max="4612" width="13.28515625" style="377" bestFit="1" customWidth="1"/>
    <col min="4613" max="4613" width="15" style="377" bestFit="1" customWidth="1"/>
    <col min="4614" max="4614" width="15" style="377" customWidth="1"/>
    <col min="4615" max="4615" width="15" style="377" bestFit="1" customWidth="1"/>
    <col min="4616" max="4616" width="13.28515625" style="377" bestFit="1" customWidth="1"/>
    <col min="4617" max="4617" width="15" style="377" bestFit="1" customWidth="1"/>
    <col min="4618" max="4864" width="9.140625" style="377"/>
    <col min="4865" max="4865" width="11.140625" style="377" bestFit="1" customWidth="1"/>
    <col min="4866" max="4866" width="14.140625" style="377" customWidth="1"/>
    <col min="4867" max="4867" width="15" style="377" bestFit="1" customWidth="1"/>
    <col min="4868" max="4868" width="13.28515625" style="377" bestFit="1" customWidth="1"/>
    <col min="4869" max="4869" width="15" style="377" bestFit="1" customWidth="1"/>
    <col min="4870" max="4870" width="15" style="377" customWidth="1"/>
    <col min="4871" max="4871" width="15" style="377" bestFit="1" customWidth="1"/>
    <col min="4872" max="4872" width="13.28515625" style="377" bestFit="1" customWidth="1"/>
    <col min="4873" max="4873" width="15" style="377" bestFit="1" customWidth="1"/>
    <col min="4874" max="5120" width="9.140625" style="377"/>
    <col min="5121" max="5121" width="11.140625" style="377" bestFit="1" customWidth="1"/>
    <col min="5122" max="5122" width="14.140625" style="377" customWidth="1"/>
    <col min="5123" max="5123" width="15" style="377" bestFit="1" customWidth="1"/>
    <col min="5124" max="5124" width="13.28515625" style="377" bestFit="1" customWidth="1"/>
    <col min="5125" max="5125" width="15" style="377" bestFit="1" customWidth="1"/>
    <col min="5126" max="5126" width="15" style="377" customWidth="1"/>
    <col min="5127" max="5127" width="15" style="377" bestFit="1" customWidth="1"/>
    <col min="5128" max="5128" width="13.28515625" style="377" bestFit="1" customWidth="1"/>
    <col min="5129" max="5129" width="15" style="377" bestFit="1" customWidth="1"/>
    <col min="5130" max="5376" width="9.140625" style="377"/>
    <col min="5377" max="5377" width="11.140625" style="377" bestFit="1" customWidth="1"/>
    <col min="5378" max="5378" width="14.140625" style="377" customWidth="1"/>
    <col min="5379" max="5379" width="15" style="377" bestFit="1" customWidth="1"/>
    <col min="5380" max="5380" width="13.28515625" style="377" bestFit="1" customWidth="1"/>
    <col min="5381" max="5381" width="15" style="377" bestFit="1" customWidth="1"/>
    <col min="5382" max="5382" width="15" style="377" customWidth="1"/>
    <col min="5383" max="5383" width="15" style="377" bestFit="1" customWidth="1"/>
    <col min="5384" max="5384" width="13.28515625" style="377" bestFit="1" customWidth="1"/>
    <col min="5385" max="5385" width="15" style="377" bestFit="1" customWidth="1"/>
    <col min="5386" max="5632" width="9.140625" style="377"/>
    <col min="5633" max="5633" width="11.140625" style="377" bestFit="1" customWidth="1"/>
    <col min="5634" max="5634" width="14.140625" style="377" customWidth="1"/>
    <col min="5635" max="5635" width="15" style="377" bestFit="1" customWidth="1"/>
    <col min="5636" max="5636" width="13.28515625" style="377" bestFit="1" customWidth="1"/>
    <col min="5637" max="5637" width="15" style="377" bestFit="1" customWidth="1"/>
    <col min="5638" max="5638" width="15" style="377" customWidth="1"/>
    <col min="5639" max="5639" width="15" style="377" bestFit="1" customWidth="1"/>
    <col min="5640" max="5640" width="13.28515625" style="377" bestFit="1" customWidth="1"/>
    <col min="5641" max="5641" width="15" style="377" bestFit="1" customWidth="1"/>
    <col min="5642" max="5888" width="9.140625" style="377"/>
    <col min="5889" max="5889" width="11.140625" style="377" bestFit="1" customWidth="1"/>
    <col min="5890" max="5890" width="14.140625" style="377" customWidth="1"/>
    <col min="5891" max="5891" width="15" style="377" bestFit="1" customWidth="1"/>
    <col min="5892" max="5892" width="13.28515625" style="377" bestFit="1" customWidth="1"/>
    <col min="5893" max="5893" width="15" style="377" bestFit="1" customWidth="1"/>
    <col min="5894" max="5894" width="15" style="377" customWidth="1"/>
    <col min="5895" max="5895" width="15" style="377" bestFit="1" customWidth="1"/>
    <col min="5896" max="5896" width="13.28515625" style="377" bestFit="1" customWidth="1"/>
    <col min="5897" max="5897" width="15" style="377" bestFit="1" customWidth="1"/>
    <col min="5898" max="6144" width="9.140625" style="377"/>
    <col min="6145" max="6145" width="11.140625" style="377" bestFit="1" customWidth="1"/>
    <col min="6146" max="6146" width="14.140625" style="377" customWidth="1"/>
    <col min="6147" max="6147" width="15" style="377" bestFit="1" customWidth="1"/>
    <col min="6148" max="6148" width="13.28515625" style="377" bestFit="1" customWidth="1"/>
    <col min="6149" max="6149" width="15" style="377" bestFit="1" customWidth="1"/>
    <col min="6150" max="6150" width="15" style="377" customWidth="1"/>
    <col min="6151" max="6151" width="15" style="377" bestFit="1" customWidth="1"/>
    <col min="6152" max="6152" width="13.28515625" style="377" bestFit="1" customWidth="1"/>
    <col min="6153" max="6153" width="15" style="377" bestFit="1" customWidth="1"/>
    <col min="6154" max="6400" width="9.140625" style="377"/>
    <col min="6401" max="6401" width="11.140625" style="377" bestFit="1" customWidth="1"/>
    <col min="6402" max="6402" width="14.140625" style="377" customWidth="1"/>
    <col min="6403" max="6403" width="15" style="377" bestFit="1" customWidth="1"/>
    <col min="6404" max="6404" width="13.28515625" style="377" bestFit="1" customWidth="1"/>
    <col min="6405" max="6405" width="15" style="377" bestFit="1" customWidth="1"/>
    <col min="6406" max="6406" width="15" style="377" customWidth="1"/>
    <col min="6407" max="6407" width="15" style="377" bestFit="1" customWidth="1"/>
    <col min="6408" max="6408" width="13.28515625" style="377" bestFit="1" customWidth="1"/>
    <col min="6409" max="6409" width="15" style="377" bestFit="1" customWidth="1"/>
    <col min="6410" max="6656" width="9.140625" style="377"/>
    <col min="6657" max="6657" width="11.140625" style="377" bestFit="1" customWidth="1"/>
    <col min="6658" max="6658" width="14.140625" style="377" customWidth="1"/>
    <col min="6659" max="6659" width="15" style="377" bestFit="1" customWidth="1"/>
    <col min="6660" max="6660" width="13.28515625" style="377" bestFit="1" customWidth="1"/>
    <col min="6661" max="6661" width="15" style="377" bestFit="1" customWidth="1"/>
    <col min="6662" max="6662" width="15" style="377" customWidth="1"/>
    <col min="6663" max="6663" width="15" style="377" bestFit="1" customWidth="1"/>
    <col min="6664" max="6664" width="13.28515625" style="377" bestFit="1" customWidth="1"/>
    <col min="6665" max="6665" width="15" style="377" bestFit="1" customWidth="1"/>
    <col min="6666" max="6912" width="9.140625" style="377"/>
    <col min="6913" max="6913" width="11.140625" style="377" bestFit="1" customWidth="1"/>
    <col min="6914" max="6914" width="14.140625" style="377" customWidth="1"/>
    <col min="6915" max="6915" width="15" style="377" bestFit="1" customWidth="1"/>
    <col min="6916" max="6916" width="13.28515625" style="377" bestFit="1" customWidth="1"/>
    <col min="6917" max="6917" width="15" style="377" bestFit="1" customWidth="1"/>
    <col min="6918" max="6918" width="15" style="377" customWidth="1"/>
    <col min="6919" max="6919" width="15" style="377" bestFit="1" customWidth="1"/>
    <col min="6920" max="6920" width="13.28515625" style="377" bestFit="1" customWidth="1"/>
    <col min="6921" max="6921" width="15" style="377" bestFit="1" customWidth="1"/>
    <col min="6922" max="7168" width="9.140625" style="377"/>
    <col min="7169" max="7169" width="11.140625" style="377" bestFit="1" customWidth="1"/>
    <col min="7170" max="7170" width="14.140625" style="377" customWidth="1"/>
    <col min="7171" max="7171" width="15" style="377" bestFit="1" customWidth="1"/>
    <col min="7172" max="7172" width="13.28515625" style="377" bestFit="1" customWidth="1"/>
    <col min="7173" max="7173" width="15" style="377" bestFit="1" customWidth="1"/>
    <col min="7174" max="7174" width="15" style="377" customWidth="1"/>
    <col min="7175" max="7175" width="15" style="377" bestFit="1" customWidth="1"/>
    <col min="7176" max="7176" width="13.28515625" style="377" bestFit="1" customWidth="1"/>
    <col min="7177" max="7177" width="15" style="377" bestFit="1" customWidth="1"/>
    <col min="7178" max="7424" width="9.140625" style="377"/>
    <col min="7425" max="7425" width="11.140625" style="377" bestFit="1" customWidth="1"/>
    <col min="7426" max="7426" width="14.140625" style="377" customWidth="1"/>
    <col min="7427" max="7427" width="15" style="377" bestFit="1" customWidth="1"/>
    <col min="7428" max="7428" width="13.28515625" style="377" bestFit="1" customWidth="1"/>
    <col min="7429" max="7429" width="15" style="377" bestFit="1" customWidth="1"/>
    <col min="7430" max="7430" width="15" style="377" customWidth="1"/>
    <col min="7431" max="7431" width="15" style="377" bestFit="1" customWidth="1"/>
    <col min="7432" max="7432" width="13.28515625" style="377" bestFit="1" customWidth="1"/>
    <col min="7433" max="7433" width="15" style="377" bestFit="1" customWidth="1"/>
    <col min="7434" max="7680" width="9.140625" style="377"/>
    <col min="7681" max="7681" width="11.140625" style="377" bestFit="1" customWidth="1"/>
    <col min="7682" max="7682" width="14.140625" style="377" customWidth="1"/>
    <col min="7683" max="7683" width="15" style="377" bestFit="1" customWidth="1"/>
    <col min="7684" max="7684" width="13.28515625" style="377" bestFit="1" customWidth="1"/>
    <col min="7685" max="7685" width="15" style="377" bestFit="1" customWidth="1"/>
    <col min="7686" max="7686" width="15" style="377" customWidth="1"/>
    <col min="7687" max="7687" width="15" style="377" bestFit="1" customWidth="1"/>
    <col min="7688" max="7688" width="13.28515625" style="377" bestFit="1" customWidth="1"/>
    <col min="7689" max="7689" width="15" style="377" bestFit="1" customWidth="1"/>
    <col min="7690" max="7936" width="9.140625" style="377"/>
    <col min="7937" max="7937" width="11.140625" style="377" bestFit="1" customWidth="1"/>
    <col min="7938" max="7938" width="14.140625" style="377" customWidth="1"/>
    <col min="7939" max="7939" width="15" style="377" bestFit="1" customWidth="1"/>
    <col min="7940" max="7940" width="13.28515625" style="377" bestFit="1" customWidth="1"/>
    <col min="7941" max="7941" width="15" style="377" bestFit="1" customWidth="1"/>
    <col min="7942" max="7942" width="15" style="377" customWidth="1"/>
    <col min="7943" max="7943" width="15" style="377" bestFit="1" customWidth="1"/>
    <col min="7944" max="7944" width="13.28515625" style="377" bestFit="1" customWidth="1"/>
    <col min="7945" max="7945" width="15" style="377" bestFit="1" customWidth="1"/>
    <col min="7946" max="8192" width="9.140625" style="377"/>
    <col min="8193" max="8193" width="11.140625" style="377" bestFit="1" customWidth="1"/>
    <col min="8194" max="8194" width="14.140625" style="377" customWidth="1"/>
    <col min="8195" max="8195" width="15" style="377" bestFit="1" customWidth="1"/>
    <col min="8196" max="8196" width="13.28515625" style="377" bestFit="1" customWidth="1"/>
    <col min="8197" max="8197" width="15" style="377" bestFit="1" customWidth="1"/>
    <col min="8198" max="8198" width="15" style="377" customWidth="1"/>
    <col min="8199" max="8199" width="15" style="377" bestFit="1" customWidth="1"/>
    <col min="8200" max="8200" width="13.28515625" style="377" bestFit="1" customWidth="1"/>
    <col min="8201" max="8201" width="15" style="377" bestFit="1" customWidth="1"/>
    <col min="8202" max="8448" width="9.140625" style="377"/>
    <col min="8449" max="8449" width="11.140625" style="377" bestFit="1" customWidth="1"/>
    <col min="8450" max="8450" width="14.140625" style="377" customWidth="1"/>
    <col min="8451" max="8451" width="15" style="377" bestFit="1" customWidth="1"/>
    <col min="8452" max="8452" width="13.28515625" style="377" bestFit="1" customWidth="1"/>
    <col min="8453" max="8453" width="15" style="377" bestFit="1" customWidth="1"/>
    <col min="8454" max="8454" width="15" style="377" customWidth="1"/>
    <col min="8455" max="8455" width="15" style="377" bestFit="1" customWidth="1"/>
    <col min="8456" max="8456" width="13.28515625" style="377" bestFit="1" customWidth="1"/>
    <col min="8457" max="8457" width="15" style="377" bestFit="1" customWidth="1"/>
    <col min="8458" max="8704" width="9.140625" style="377"/>
    <col min="8705" max="8705" width="11.140625" style="377" bestFit="1" customWidth="1"/>
    <col min="8706" max="8706" width="14.140625" style="377" customWidth="1"/>
    <col min="8707" max="8707" width="15" style="377" bestFit="1" customWidth="1"/>
    <col min="8708" max="8708" width="13.28515625" style="377" bestFit="1" customWidth="1"/>
    <col min="8709" max="8709" width="15" style="377" bestFit="1" customWidth="1"/>
    <col min="8710" max="8710" width="15" style="377" customWidth="1"/>
    <col min="8711" max="8711" width="15" style="377" bestFit="1" customWidth="1"/>
    <col min="8712" max="8712" width="13.28515625" style="377" bestFit="1" customWidth="1"/>
    <col min="8713" max="8713" width="15" style="377" bestFit="1" customWidth="1"/>
    <col min="8714" max="8960" width="9.140625" style="377"/>
    <col min="8961" max="8961" width="11.140625" style="377" bestFit="1" customWidth="1"/>
    <col min="8962" max="8962" width="14.140625" style="377" customWidth="1"/>
    <col min="8963" max="8963" width="15" style="377" bestFit="1" customWidth="1"/>
    <col min="8964" max="8964" width="13.28515625" style="377" bestFit="1" customWidth="1"/>
    <col min="8965" max="8965" width="15" style="377" bestFit="1" customWidth="1"/>
    <col min="8966" max="8966" width="15" style="377" customWidth="1"/>
    <col min="8967" max="8967" width="15" style="377" bestFit="1" customWidth="1"/>
    <col min="8968" max="8968" width="13.28515625" style="377" bestFit="1" customWidth="1"/>
    <col min="8969" max="8969" width="15" style="377" bestFit="1" customWidth="1"/>
    <col min="8970" max="9216" width="9.140625" style="377"/>
    <col min="9217" max="9217" width="11.140625" style="377" bestFit="1" customWidth="1"/>
    <col min="9218" max="9218" width="14.140625" style="377" customWidth="1"/>
    <col min="9219" max="9219" width="15" style="377" bestFit="1" customWidth="1"/>
    <col min="9220" max="9220" width="13.28515625" style="377" bestFit="1" customWidth="1"/>
    <col min="9221" max="9221" width="15" style="377" bestFit="1" customWidth="1"/>
    <col min="9222" max="9222" width="15" style="377" customWidth="1"/>
    <col min="9223" max="9223" width="15" style="377" bestFit="1" customWidth="1"/>
    <col min="9224" max="9224" width="13.28515625" style="377" bestFit="1" customWidth="1"/>
    <col min="9225" max="9225" width="15" style="377" bestFit="1" customWidth="1"/>
    <col min="9226" max="9472" width="9.140625" style="377"/>
    <col min="9473" max="9473" width="11.140625" style="377" bestFit="1" customWidth="1"/>
    <col min="9474" max="9474" width="14.140625" style="377" customWidth="1"/>
    <col min="9475" max="9475" width="15" style="377" bestFit="1" customWidth="1"/>
    <col min="9476" max="9476" width="13.28515625" style="377" bestFit="1" customWidth="1"/>
    <col min="9477" max="9477" width="15" style="377" bestFit="1" customWidth="1"/>
    <col min="9478" max="9478" width="15" style="377" customWidth="1"/>
    <col min="9479" max="9479" width="15" style="377" bestFit="1" customWidth="1"/>
    <col min="9480" max="9480" width="13.28515625" style="377" bestFit="1" customWidth="1"/>
    <col min="9481" max="9481" width="15" style="377" bestFit="1" customWidth="1"/>
    <col min="9482" max="9728" width="9.140625" style="377"/>
    <col min="9729" max="9729" width="11.140625" style="377" bestFit="1" customWidth="1"/>
    <col min="9730" max="9730" width="14.140625" style="377" customWidth="1"/>
    <col min="9731" max="9731" width="15" style="377" bestFit="1" customWidth="1"/>
    <col min="9732" max="9732" width="13.28515625" style="377" bestFit="1" customWidth="1"/>
    <col min="9733" max="9733" width="15" style="377" bestFit="1" customWidth="1"/>
    <col min="9734" max="9734" width="15" style="377" customWidth="1"/>
    <col min="9735" max="9735" width="15" style="377" bestFit="1" customWidth="1"/>
    <col min="9736" max="9736" width="13.28515625" style="377" bestFit="1" customWidth="1"/>
    <col min="9737" max="9737" width="15" style="377" bestFit="1" customWidth="1"/>
    <col min="9738" max="9984" width="9.140625" style="377"/>
    <col min="9985" max="9985" width="11.140625" style="377" bestFit="1" customWidth="1"/>
    <col min="9986" max="9986" width="14.140625" style="377" customWidth="1"/>
    <col min="9987" max="9987" width="15" style="377" bestFit="1" customWidth="1"/>
    <col min="9988" max="9988" width="13.28515625" style="377" bestFit="1" customWidth="1"/>
    <col min="9989" max="9989" width="15" style="377" bestFit="1" customWidth="1"/>
    <col min="9990" max="9990" width="15" style="377" customWidth="1"/>
    <col min="9991" max="9991" width="15" style="377" bestFit="1" customWidth="1"/>
    <col min="9992" max="9992" width="13.28515625" style="377" bestFit="1" customWidth="1"/>
    <col min="9993" max="9993" width="15" style="377" bestFit="1" customWidth="1"/>
    <col min="9994" max="10240" width="9.140625" style="377"/>
    <col min="10241" max="10241" width="11.140625" style="377" bestFit="1" customWidth="1"/>
    <col min="10242" max="10242" width="14.140625" style="377" customWidth="1"/>
    <col min="10243" max="10243" width="15" style="377" bestFit="1" customWidth="1"/>
    <col min="10244" max="10244" width="13.28515625" style="377" bestFit="1" customWidth="1"/>
    <col min="10245" max="10245" width="15" style="377" bestFit="1" customWidth="1"/>
    <col min="10246" max="10246" width="15" style="377" customWidth="1"/>
    <col min="10247" max="10247" width="15" style="377" bestFit="1" customWidth="1"/>
    <col min="10248" max="10248" width="13.28515625" style="377" bestFit="1" customWidth="1"/>
    <col min="10249" max="10249" width="15" style="377" bestFit="1" customWidth="1"/>
    <col min="10250" max="10496" width="9.140625" style="377"/>
    <col min="10497" max="10497" width="11.140625" style="377" bestFit="1" customWidth="1"/>
    <col min="10498" max="10498" width="14.140625" style="377" customWidth="1"/>
    <col min="10499" max="10499" width="15" style="377" bestFit="1" customWidth="1"/>
    <col min="10500" max="10500" width="13.28515625" style="377" bestFit="1" customWidth="1"/>
    <col min="10501" max="10501" width="15" style="377" bestFit="1" customWidth="1"/>
    <col min="10502" max="10502" width="15" style="377" customWidth="1"/>
    <col min="10503" max="10503" width="15" style="377" bestFit="1" customWidth="1"/>
    <col min="10504" max="10504" width="13.28515625" style="377" bestFit="1" customWidth="1"/>
    <col min="10505" max="10505" width="15" style="377" bestFit="1" customWidth="1"/>
    <col min="10506" max="10752" width="9.140625" style="377"/>
    <col min="10753" max="10753" width="11.140625" style="377" bestFit="1" customWidth="1"/>
    <col min="10754" max="10754" width="14.140625" style="377" customWidth="1"/>
    <col min="10755" max="10755" width="15" style="377" bestFit="1" customWidth="1"/>
    <col min="10756" max="10756" width="13.28515625" style="377" bestFit="1" customWidth="1"/>
    <col min="10757" max="10757" width="15" style="377" bestFit="1" customWidth="1"/>
    <col min="10758" max="10758" width="15" style="377" customWidth="1"/>
    <col min="10759" max="10759" width="15" style="377" bestFit="1" customWidth="1"/>
    <col min="10760" max="10760" width="13.28515625" style="377" bestFit="1" customWidth="1"/>
    <col min="10761" max="10761" width="15" style="377" bestFit="1" customWidth="1"/>
    <col min="10762" max="11008" width="9.140625" style="377"/>
    <col min="11009" max="11009" width="11.140625" style="377" bestFit="1" customWidth="1"/>
    <col min="11010" max="11010" width="14.140625" style="377" customWidth="1"/>
    <col min="11011" max="11011" width="15" style="377" bestFit="1" customWidth="1"/>
    <col min="11012" max="11012" width="13.28515625" style="377" bestFit="1" customWidth="1"/>
    <col min="11013" max="11013" width="15" style="377" bestFit="1" customWidth="1"/>
    <col min="11014" max="11014" width="15" style="377" customWidth="1"/>
    <col min="11015" max="11015" width="15" style="377" bestFit="1" customWidth="1"/>
    <col min="11016" max="11016" width="13.28515625" style="377" bestFit="1" customWidth="1"/>
    <col min="11017" max="11017" width="15" style="377" bestFit="1" customWidth="1"/>
    <col min="11018" max="11264" width="9.140625" style="377"/>
    <col min="11265" max="11265" width="11.140625" style="377" bestFit="1" customWidth="1"/>
    <col min="11266" max="11266" width="14.140625" style="377" customWidth="1"/>
    <col min="11267" max="11267" width="15" style="377" bestFit="1" customWidth="1"/>
    <col min="11268" max="11268" width="13.28515625" style="377" bestFit="1" customWidth="1"/>
    <col min="11269" max="11269" width="15" style="377" bestFit="1" customWidth="1"/>
    <col min="11270" max="11270" width="15" style="377" customWidth="1"/>
    <col min="11271" max="11271" width="15" style="377" bestFit="1" customWidth="1"/>
    <col min="11272" max="11272" width="13.28515625" style="377" bestFit="1" customWidth="1"/>
    <col min="11273" max="11273" width="15" style="377" bestFit="1" customWidth="1"/>
    <col min="11274" max="11520" width="9.140625" style="377"/>
    <col min="11521" max="11521" width="11.140625" style="377" bestFit="1" customWidth="1"/>
    <col min="11522" max="11522" width="14.140625" style="377" customWidth="1"/>
    <col min="11523" max="11523" width="15" style="377" bestFit="1" customWidth="1"/>
    <col min="11524" max="11524" width="13.28515625" style="377" bestFit="1" customWidth="1"/>
    <col min="11525" max="11525" width="15" style="377" bestFit="1" customWidth="1"/>
    <col min="11526" max="11526" width="15" style="377" customWidth="1"/>
    <col min="11527" max="11527" width="15" style="377" bestFit="1" customWidth="1"/>
    <col min="11528" max="11528" width="13.28515625" style="377" bestFit="1" customWidth="1"/>
    <col min="11529" max="11529" width="15" style="377" bestFit="1" customWidth="1"/>
    <col min="11530" max="11776" width="9.140625" style="377"/>
    <col min="11777" max="11777" width="11.140625" style="377" bestFit="1" customWidth="1"/>
    <col min="11778" max="11778" width="14.140625" style="377" customWidth="1"/>
    <col min="11779" max="11779" width="15" style="377" bestFit="1" customWidth="1"/>
    <col min="11780" max="11780" width="13.28515625" style="377" bestFit="1" customWidth="1"/>
    <col min="11781" max="11781" width="15" style="377" bestFit="1" customWidth="1"/>
    <col min="11782" max="11782" width="15" style="377" customWidth="1"/>
    <col min="11783" max="11783" width="15" style="377" bestFit="1" customWidth="1"/>
    <col min="11784" max="11784" width="13.28515625" style="377" bestFit="1" customWidth="1"/>
    <col min="11785" max="11785" width="15" style="377" bestFit="1" customWidth="1"/>
    <col min="11786" max="12032" width="9.140625" style="377"/>
    <col min="12033" max="12033" width="11.140625" style="377" bestFit="1" customWidth="1"/>
    <col min="12034" max="12034" width="14.140625" style="377" customWidth="1"/>
    <col min="12035" max="12035" width="15" style="377" bestFit="1" customWidth="1"/>
    <col min="12036" max="12036" width="13.28515625" style="377" bestFit="1" customWidth="1"/>
    <col min="12037" max="12037" width="15" style="377" bestFit="1" customWidth="1"/>
    <col min="12038" max="12038" width="15" style="377" customWidth="1"/>
    <col min="12039" max="12039" width="15" style="377" bestFit="1" customWidth="1"/>
    <col min="12040" max="12040" width="13.28515625" style="377" bestFit="1" customWidth="1"/>
    <col min="12041" max="12041" width="15" style="377" bestFit="1" customWidth="1"/>
    <col min="12042" max="12288" width="9.140625" style="377"/>
    <col min="12289" max="12289" width="11.140625" style="377" bestFit="1" customWidth="1"/>
    <col min="12290" max="12290" width="14.140625" style="377" customWidth="1"/>
    <col min="12291" max="12291" width="15" style="377" bestFit="1" customWidth="1"/>
    <col min="12292" max="12292" width="13.28515625" style="377" bestFit="1" customWidth="1"/>
    <col min="12293" max="12293" width="15" style="377" bestFit="1" customWidth="1"/>
    <col min="12294" max="12294" width="15" style="377" customWidth="1"/>
    <col min="12295" max="12295" width="15" style="377" bestFit="1" customWidth="1"/>
    <col min="12296" max="12296" width="13.28515625" style="377" bestFit="1" customWidth="1"/>
    <col min="12297" max="12297" width="15" style="377" bestFit="1" customWidth="1"/>
    <col min="12298" max="12544" width="9.140625" style="377"/>
    <col min="12545" max="12545" width="11.140625" style="377" bestFit="1" customWidth="1"/>
    <col min="12546" max="12546" width="14.140625" style="377" customWidth="1"/>
    <col min="12547" max="12547" width="15" style="377" bestFit="1" customWidth="1"/>
    <col min="12548" max="12548" width="13.28515625" style="377" bestFit="1" customWidth="1"/>
    <col min="12549" max="12549" width="15" style="377" bestFit="1" customWidth="1"/>
    <col min="12550" max="12550" width="15" style="377" customWidth="1"/>
    <col min="12551" max="12551" width="15" style="377" bestFit="1" customWidth="1"/>
    <col min="12552" max="12552" width="13.28515625" style="377" bestFit="1" customWidth="1"/>
    <col min="12553" max="12553" width="15" style="377" bestFit="1" customWidth="1"/>
    <col min="12554" max="12800" width="9.140625" style="377"/>
    <col min="12801" max="12801" width="11.140625" style="377" bestFit="1" customWidth="1"/>
    <col min="12802" max="12802" width="14.140625" style="377" customWidth="1"/>
    <col min="12803" max="12803" width="15" style="377" bestFit="1" customWidth="1"/>
    <col min="12804" max="12804" width="13.28515625" style="377" bestFit="1" customWidth="1"/>
    <col min="12805" max="12805" width="15" style="377" bestFit="1" customWidth="1"/>
    <col min="12806" max="12806" width="15" style="377" customWidth="1"/>
    <col min="12807" max="12807" width="15" style="377" bestFit="1" customWidth="1"/>
    <col min="12808" max="12808" width="13.28515625" style="377" bestFit="1" customWidth="1"/>
    <col min="12809" max="12809" width="15" style="377" bestFit="1" customWidth="1"/>
    <col min="12810" max="13056" width="9.140625" style="377"/>
    <col min="13057" max="13057" width="11.140625" style="377" bestFit="1" customWidth="1"/>
    <col min="13058" max="13058" width="14.140625" style="377" customWidth="1"/>
    <col min="13059" max="13059" width="15" style="377" bestFit="1" customWidth="1"/>
    <col min="13060" max="13060" width="13.28515625" style="377" bestFit="1" customWidth="1"/>
    <col min="13061" max="13061" width="15" style="377" bestFit="1" customWidth="1"/>
    <col min="13062" max="13062" width="15" style="377" customWidth="1"/>
    <col min="13063" max="13063" width="15" style="377" bestFit="1" customWidth="1"/>
    <col min="13064" max="13064" width="13.28515625" style="377" bestFit="1" customWidth="1"/>
    <col min="13065" max="13065" width="15" style="377" bestFit="1" customWidth="1"/>
    <col min="13066" max="13312" width="9.140625" style="377"/>
    <col min="13313" max="13313" width="11.140625" style="377" bestFit="1" customWidth="1"/>
    <col min="13314" max="13314" width="14.140625" style="377" customWidth="1"/>
    <col min="13315" max="13315" width="15" style="377" bestFit="1" customWidth="1"/>
    <col min="13316" max="13316" width="13.28515625" style="377" bestFit="1" customWidth="1"/>
    <col min="13317" max="13317" width="15" style="377" bestFit="1" customWidth="1"/>
    <col min="13318" max="13318" width="15" style="377" customWidth="1"/>
    <col min="13319" max="13319" width="15" style="377" bestFit="1" customWidth="1"/>
    <col min="13320" max="13320" width="13.28515625" style="377" bestFit="1" customWidth="1"/>
    <col min="13321" max="13321" width="15" style="377" bestFit="1" customWidth="1"/>
    <col min="13322" max="13568" width="9.140625" style="377"/>
    <col min="13569" max="13569" width="11.140625" style="377" bestFit="1" customWidth="1"/>
    <col min="13570" max="13570" width="14.140625" style="377" customWidth="1"/>
    <col min="13571" max="13571" width="15" style="377" bestFit="1" customWidth="1"/>
    <col min="13572" max="13572" width="13.28515625" style="377" bestFit="1" customWidth="1"/>
    <col min="13573" max="13573" width="15" style="377" bestFit="1" customWidth="1"/>
    <col min="13574" max="13574" width="15" style="377" customWidth="1"/>
    <col min="13575" max="13575" width="15" style="377" bestFit="1" customWidth="1"/>
    <col min="13576" max="13576" width="13.28515625" style="377" bestFit="1" customWidth="1"/>
    <col min="13577" max="13577" width="15" style="377" bestFit="1" customWidth="1"/>
    <col min="13578" max="13824" width="9.140625" style="377"/>
    <col min="13825" max="13825" width="11.140625" style="377" bestFit="1" customWidth="1"/>
    <col min="13826" max="13826" width="14.140625" style="377" customWidth="1"/>
    <col min="13827" max="13827" width="15" style="377" bestFit="1" customWidth="1"/>
    <col min="13828" max="13828" width="13.28515625" style="377" bestFit="1" customWidth="1"/>
    <col min="13829" max="13829" width="15" style="377" bestFit="1" customWidth="1"/>
    <col min="13830" max="13830" width="15" style="377" customWidth="1"/>
    <col min="13831" max="13831" width="15" style="377" bestFit="1" customWidth="1"/>
    <col min="13832" max="13832" width="13.28515625" style="377" bestFit="1" customWidth="1"/>
    <col min="13833" max="13833" width="15" style="377" bestFit="1" customWidth="1"/>
    <col min="13834" max="14080" width="9.140625" style="377"/>
    <col min="14081" max="14081" width="11.140625" style="377" bestFit="1" customWidth="1"/>
    <col min="14082" max="14082" width="14.140625" style="377" customWidth="1"/>
    <col min="14083" max="14083" width="15" style="377" bestFit="1" customWidth="1"/>
    <col min="14084" max="14084" width="13.28515625" style="377" bestFit="1" customWidth="1"/>
    <col min="14085" max="14085" width="15" style="377" bestFit="1" customWidth="1"/>
    <col min="14086" max="14086" width="15" style="377" customWidth="1"/>
    <col min="14087" max="14087" width="15" style="377" bestFit="1" customWidth="1"/>
    <col min="14088" max="14088" width="13.28515625" style="377" bestFit="1" customWidth="1"/>
    <col min="14089" max="14089" width="15" style="377" bestFit="1" customWidth="1"/>
    <col min="14090" max="14336" width="9.140625" style="377"/>
    <col min="14337" max="14337" width="11.140625" style="377" bestFit="1" customWidth="1"/>
    <col min="14338" max="14338" width="14.140625" style="377" customWidth="1"/>
    <col min="14339" max="14339" width="15" style="377" bestFit="1" customWidth="1"/>
    <col min="14340" max="14340" width="13.28515625" style="377" bestFit="1" customWidth="1"/>
    <col min="14341" max="14341" width="15" style="377" bestFit="1" customWidth="1"/>
    <col min="14342" max="14342" width="15" style="377" customWidth="1"/>
    <col min="14343" max="14343" width="15" style="377" bestFit="1" customWidth="1"/>
    <col min="14344" max="14344" width="13.28515625" style="377" bestFit="1" customWidth="1"/>
    <col min="14345" max="14345" width="15" style="377" bestFit="1" customWidth="1"/>
    <col min="14346" max="14592" width="9.140625" style="377"/>
    <col min="14593" max="14593" width="11.140625" style="377" bestFit="1" customWidth="1"/>
    <col min="14594" max="14594" width="14.140625" style="377" customWidth="1"/>
    <col min="14595" max="14595" width="15" style="377" bestFit="1" customWidth="1"/>
    <col min="14596" max="14596" width="13.28515625" style="377" bestFit="1" customWidth="1"/>
    <col min="14597" max="14597" width="15" style="377" bestFit="1" customWidth="1"/>
    <col min="14598" max="14598" width="15" style="377" customWidth="1"/>
    <col min="14599" max="14599" width="15" style="377" bestFit="1" customWidth="1"/>
    <col min="14600" max="14600" width="13.28515625" style="377" bestFit="1" customWidth="1"/>
    <col min="14601" max="14601" width="15" style="377" bestFit="1" customWidth="1"/>
    <col min="14602" max="14848" width="9.140625" style="377"/>
    <col min="14849" max="14849" width="11.140625" style="377" bestFit="1" customWidth="1"/>
    <col min="14850" max="14850" width="14.140625" style="377" customWidth="1"/>
    <col min="14851" max="14851" width="15" style="377" bestFit="1" customWidth="1"/>
    <col min="14852" max="14852" width="13.28515625" style="377" bestFit="1" customWidth="1"/>
    <col min="14853" max="14853" width="15" style="377" bestFit="1" customWidth="1"/>
    <col min="14854" max="14854" width="15" style="377" customWidth="1"/>
    <col min="14855" max="14855" width="15" style="377" bestFit="1" customWidth="1"/>
    <col min="14856" max="14856" width="13.28515625" style="377" bestFit="1" customWidth="1"/>
    <col min="14857" max="14857" width="15" style="377" bestFit="1" customWidth="1"/>
    <col min="14858" max="15104" width="9.140625" style="377"/>
    <col min="15105" max="15105" width="11.140625" style="377" bestFit="1" customWidth="1"/>
    <col min="15106" max="15106" width="14.140625" style="377" customWidth="1"/>
    <col min="15107" max="15107" width="15" style="377" bestFit="1" customWidth="1"/>
    <col min="15108" max="15108" width="13.28515625" style="377" bestFit="1" customWidth="1"/>
    <col min="15109" max="15109" width="15" style="377" bestFit="1" customWidth="1"/>
    <col min="15110" max="15110" width="15" style="377" customWidth="1"/>
    <col min="15111" max="15111" width="15" style="377" bestFit="1" customWidth="1"/>
    <col min="15112" max="15112" width="13.28515625" style="377" bestFit="1" customWidth="1"/>
    <col min="15113" max="15113" width="15" style="377" bestFit="1" customWidth="1"/>
    <col min="15114" max="15360" width="9.140625" style="377"/>
    <col min="15361" max="15361" width="11.140625" style="377" bestFit="1" customWidth="1"/>
    <col min="15362" max="15362" width="14.140625" style="377" customWidth="1"/>
    <col min="15363" max="15363" width="15" style="377" bestFit="1" customWidth="1"/>
    <col min="15364" max="15364" width="13.28515625" style="377" bestFit="1" customWidth="1"/>
    <col min="15365" max="15365" width="15" style="377" bestFit="1" customWidth="1"/>
    <col min="15366" max="15366" width="15" style="377" customWidth="1"/>
    <col min="15367" max="15367" width="15" style="377" bestFit="1" customWidth="1"/>
    <col min="15368" max="15368" width="13.28515625" style="377" bestFit="1" customWidth="1"/>
    <col min="15369" max="15369" width="15" style="377" bestFit="1" customWidth="1"/>
    <col min="15370" max="15616" width="9.140625" style="377"/>
    <col min="15617" max="15617" width="11.140625" style="377" bestFit="1" customWidth="1"/>
    <col min="15618" max="15618" width="14.140625" style="377" customWidth="1"/>
    <col min="15619" max="15619" width="15" style="377" bestFit="1" customWidth="1"/>
    <col min="15620" max="15620" width="13.28515625" style="377" bestFit="1" customWidth="1"/>
    <col min="15621" max="15621" width="15" style="377" bestFit="1" customWidth="1"/>
    <col min="15622" max="15622" width="15" style="377" customWidth="1"/>
    <col min="15623" max="15623" width="15" style="377" bestFit="1" customWidth="1"/>
    <col min="15624" max="15624" width="13.28515625" style="377" bestFit="1" customWidth="1"/>
    <col min="15625" max="15625" width="15" style="377" bestFit="1" customWidth="1"/>
    <col min="15626" max="15872" width="9.140625" style="377"/>
    <col min="15873" max="15873" width="11.140625" style="377" bestFit="1" customWidth="1"/>
    <col min="15874" max="15874" width="14.140625" style="377" customWidth="1"/>
    <col min="15875" max="15875" width="15" style="377" bestFit="1" customWidth="1"/>
    <col min="15876" max="15876" width="13.28515625" style="377" bestFit="1" customWidth="1"/>
    <col min="15877" max="15877" width="15" style="377" bestFit="1" customWidth="1"/>
    <col min="15878" max="15878" width="15" style="377" customWidth="1"/>
    <col min="15879" max="15879" width="15" style="377" bestFit="1" customWidth="1"/>
    <col min="15880" max="15880" width="13.28515625" style="377" bestFit="1" customWidth="1"/>
    <col min="15881" max="15881" width="15" style="377" bestFit="1" customWidth="1"/>
    <col min="15882" max="16128" width="9.140625" style="377"/>
    <col min="16129" max="16129" width="11.140625" style="377" bestFit="1" customWidth="1"/>
    <col min="16130" max="16130" width="14.140625" style="377" customWidth="1"/>
    <col min="16131" max="16131" width="15" style="377" bestFit="1" customWidth="1"/>
    <col min="16132" max="16132" width="13.28515625" style="377" bestFit="1" customWidth="1"/>
    <col min="16133" max="16133" width="15" style="377" bestFit="1" customWidth="1"/>
    <col min="16134" max="16134" width="15" style="377" customWidth="1"/>
    <col min="16135" max="16135" width="15" style="377" bestFit="1" customWidth="1"/>
    <col min="16136" max="16136" width="13.28515625" style="377" bestFit="1" customWidth="1"/>
    <col min="16137" max="16137" width="15" style="377" bestFit="1" customWidth="1"/>
    <col min="16138" max="16384" width="9.140625" style="377"/>
  </cols>
  <sheetData>
    <row r="1" spans="1:10" ht="18" thickBot="1">
      <c r="A1" s="1997" t="s">
        <v>1034</v>
      </c>
      <c r="B1" s="1997"/>
      <c r="C1" s="1997"/>
      <c r="D1" s="1997"/>
      <c r="E1" s="1997"/>
      <c r="F1" s="1997"/>
      <c r="G1" s="1997"/>
      <c r="H1" s="1997"/>
      <c r="I1" s="1997"/>
    </row>
    <row r="2" spans="1:10">
      <c r="A2" s="1998" t="s">
        <v>1035</v>
      </c>
      <c r="B2" s="1999"/>
      <c r="C2" s="1999"/>
      <c r="D2" s="1999"/>
      <c r="E2" s="2000"/>
      <c r="F2" s="1703"/>
      <c r="G2" s="1998" t="s">
        <v>1036</v>
      </c>
      <c r="H2" s="1999"/>
      <c r="I2" s="2000"/>
    </row>
    <row r="3" spans="1:10" ht="17.25">
      <c r="A3" s="331"/>
      <c r="B3" s="1704" t="s">
        <v>1037</v>
      </c>
      <c r="C3" s="1705" t="s">
        <v>1038</v>
      </c>
      <c r="D3" s="1662" t="s">
        <v>1039</v>
      </c>
      <c r="E3" s="1706" t="s">
        <v>1040</v>
      </c>
      <c r="F3" s="1704" t="s">
        <v>1037</v>
      </c>
      <c r="G3" s="1707" t="s">
        <v>1038</v>
      </c>
      <c r="H3" s="1662" t="s">
        <v>1039</v>
      </c>
      <c r="I3" s="1706" t="s">
        <v>1040</v>
      </c>
    </row>
    <row r="4" spans="1:10">
      <c r="A4" s="1708" t="s">
        <v>1041</v>
      </c>
      <c r="B4" s="1709">
        <v>437623</v>
      </c>
      <c r="C4" s="1710">
        <v>18188047.989999998</v>
      </c>
      <c r="D4" s="1711">
        <v>229386</v>
      </c>
      <c r="E4" s="1712">
        <v>21523198.600000001</v>
      </c>
      <c r="F4" s="1713">
        <v>444422</v>
      </c>
      <c r="G4" s="1714">
        <v>19707708.300000001</v>
      </c>
      <c r="H4" s="1711">
        <v>227812</v>
      </c>
      <c r="I4" s="1712">
        <v>20912105.16</v>
      </c>
    </row>
    <row r="5" spans="1:10">
      <c r="A5" s="1708" t="s">
        <v>1042</v>
      </c>
      <c r="B5" s="1709">
        <v>479928</v>
      </c>
      <c r="C5" s="1710">
        <v>18715621.870000001</v>
      </c>
      <c r="D5" s="1711">
        <v>244748</v>
      </c>
      <c r="E5" s="1712">
        <v>15884885.050000001</v>
      </c>
      <c r="F5" s="1713">
        <v>433694</v>
      </c>
      <c r="G5" s="1714">
        <v>19768676.649999999</v>
      </c>
      <c r="H5" s="1711">
        <v>229294</v>
      </c>
      <c r="I5" s="1712">
        <v>19469831.18</v>
      </c>
    </row>
    <row r="6" spans="1:10">
      <c r="A6" s="1708" t="s">
        <v>1043</v>
      </c>
      <c r="B6" s="1709">
        <v>451872</v>
      </c>
      <c r="C6" s="1710">
        <v>17612161.23</v>
      </c>
      <c r="D6" s="1711">
        <v>227592</v>
      </c>
      <c r="E6" s="1712">
        <v>20470338.710000001</v>
      </c>
      <c r="F6" s="1713">
        <v>470386</v>
      </c>
      <c r="G6" s="1714">
        <v>23137864.600000001</v>
      </c>
      <c r="H6" s="1711">
        <v>255767</v>
      </c>
      <c r="I6" s="1712">
        <v>18462433.480000004</v>
      </c>
    </row>
    <row r="7" spans="1:10">
      <c r="A7" s="1708" t="s">
        <v>1044</v>
      </c>
      <c r="B7" s="1709">
        <v>458958</v>
      </c>
      <c r="C7" s="1710">
        <v>19418567.59</v>
      </c>
      <c r="D7" s="1711">
        <v>228433</v>
      </c>
      <c r="E7" s="1712">
        <v>19677123.23</v>
      </c>
      <c r="F7" s="1713">
        <v>442514</v>
      </c>
      <c r="G7" s="1714">
        <v>19654087.98</v>
      </c>
      <c r="H7" s="1711">
        <v>229850</v>
      </c>
      <c r="I7" s="1712">
        <v>20737604.130000003</v>
      </c>
    </row>
    <row r="8" spans="1:10">
      <c r="A8" s="1708" t="s">
        <v>1045</v>
      </c>
      <c r="B8" s="1709">
        <v>477595</v>
      </c>
      <c r="C8" s="1710">
        <v>19925228.800000001</v>
      </c>
      <c r="D8" s="1711">
        <v>243410</v>
      </c>
      <c r="E8" s="1712">
        <v>16389678.149999999</v>
      </c>
      <c r="F8" s="1713">
        <v>472413</v>
      </c>
      <c r="G8" s="1714">
        <v>22761622.620000001</v>
      </c>
      <c r="H8" s="1711">
        <v>252399</v>
      </c>
      <c r="I8" s="1712">
        <v>20803554.489999998</v>
      </c>
    </row>
    <row r="9" spans="1:10">
      <c r="A9" s="1708" t="s">
        <v>1046</v>
      </c>
      <c r="B9" s="1709">
        <v>431151</v>
      </c>
      <c r="C9" s="1710">
        <v>19604549.530000001</v>
      </c>
      <c r="D9" s="1711">
        <v>208422</v>
      </c>
      <c r="E9" s="1712">
        <v>17805993.309999999</v>
      </c>
      <c r="F9" s="1713">
        <v>427584</v>
      </c>
      <c r="G9" s="1714">
        <v>20010678.82</v>
      </c>
      <c r="H9" s="1711">
        <v>227861</v>
      </c>
      <c r="I9" s="1712">
        <v>22451630.66</v>
      </c>
    </row>
    <row r="10" spans="1:10">
      <c r="A10" s="1708" t="s">
        <v>1047</v>
      </c>
      <c r="B10" s="1709">
        <v>503683</v>
      </c>
      <c r="C10" s="1710">
        <v>19755096.580000002</v>
      </c>
      <c r="D10" s="1711">
        <v>263034</v>
      </c>
      <c r="E10" s="1712">
        <v>19555247.719999999</v>
      </c>
      <c r="F10" s="1713">
        <v>570651</v>
      </c>
      <c r="G10" s="1714">
        <v>20010678.82</v>
      </c>
      <c r="H10" s="1711">
        <v>318510</v>
      </c>
      <c r="I10" s="1712">
        <v>16969135.02</v>
      </c>
    </row>
    <row r="11" spans="1:10">
      <c r="A11" s="1708" t="s">
        <v>1048</v>
      </c>
      <c r="B11" s="1709">
        <v>511704</v>
      </c>
      <c r="C11" s="1710">
        <v>19778752.719999999</v>
      </c>
      <c r="D11" s="1711">
        <v>258453</v>
      </c>
      <c r="E11" s="1712">
        <v>23167452.27</v>
      </c>
      <c r="F11" s="1713">
        <v>503212</v>
      </c>
      <c r="G11" s="1714">
        <v>26405103.66</v>
      </c>
      <c r="H11" s="1711">
        <v>269654</v>
      </c>
      <c r="I11" s="1712">
        <v>26650861.25</v>
      </c>
    </row>
    <row r="12" spans="1:10">
      <c r="A12" s="1708" t="s">
        <v>1049</v>
      </c>
      <c r="B12" s="1709">
        <v>460339</v>
      </c>
      <c r="C12" s="1710">
        <v>17619572.18</v>
      </c>
      <c r="D12" s="1711">
        <v>234968</v>
      </c>
      <c r="E12" s="1712">
        <v>21204231.68</v>
      </c>
      <c r="F12" s="1713">
        <v>466361</v>
      </c>
      <c r="G12" s="1714">
        <v>21550285.880000003</v>
      </c>
      <c r="H12" s="1711">
        <v>243792</v>
      </c>
      <c r="I12" s="1712">
        <v>21474938.670000002</v>
      </c>
    </row>
    <row r="13" spans="1:10">
      <c r="A13" s="1708" t="s">
        <v>1050</v>
      </c>
      <c r="B13" s="1709">
        <v>488605</v>
      </c>
      <c r="C13" s="1710">
        <v>17464206.569999997</v>
      </c>
      <c r="D13" s="1711">
        <v>243172</v>
      </c>
      <c r="E13" s="1712">
        <v>13139486.050000001</v>
      </c>
      <c r="F13" s="1713">
        <v>419575</v>
      </c>
      <c r="G13" s="1714">
        <v>19695031.41</v>
      </c>
      <c r="H13" s="1711">
        <v>231188</v>
      </c>
      <c r="I13" s="1712">
        <v>22538934.829999998</v>
      </c>
    </row>
    <row r="14" spans="1:10">
      <c r="A14" s="1708" t="s">
        <v>630</v>
      </c>
      <c r="B14" s="1709">
        <v>467586</v>
      </c>
      <c r="C14" s="1710">
        <v>17886341.489999998</v>
      </c>
      <c r="D14" s="1711">
        <v>235797</v>
      </c>
      <c r="E14" s="1712">
        <v>14220951.710000001</v>
      </c>
      <c r="F14" s="1713">
        <v>370235</v>
      </c>
      <c r="G14" s="1714">
        <v>19096993.84</v>
      </c>
      <c r="H14" s="1711">
        <v>201169</v>
      </c>
      <c r="I14" s="1712">
        <v>24168637.809999999</v>
      </c>
    </row>
    <row r="15" spans="1:10">
      <c r="A15" s="1708" t="s">
        <v>1051</v>
      </c>
      <c r="B15" s="1709">
        <v>443475</v>
      </c>
      <c r="C15" s="1710">
        <v>17301250.449999999</v>
      </c>
      <c r="D15" s="1711">
        <v>233806</v>
      </c>
      <c r="E15" s="1712">
        <v>17302036.300000001</v>
      </c>
      <c r="F15" s="1713">
        <v>411715</v>
      </c>
      <c r="G15" s="1714">
        <v>18036286</v>
      </c>
      <c r="H15" s="1711">
        <v>229009</v>
      </c>
      <c r="I15" s="128">
        <v>21514644.079999998</v>
      </c>
    </row>
    <row r="16" spans="1:10" ht="15.75" thickBot="1">
      <c r="A16" s="1715" t="s">
        <v>913</v>
      </c>
      <c r="B16" s="1716">
        <f>SUM(B4:B15)</f>
        <v>5612519</v>
      </c>
      <c r="C16" s="1717">
        <f t="shared" ref="C16:H16" si="0">SUM(C4:C15)</f>
        <v>223269397</v>
      </c>
      <c r="D16" s="1718">
        <f t="shared" si="0"/>
        <v>2851221</v>
      </c>
      <c r="E16" s="1719">
        <f t="shared" si="0"/>
        <v>220340622.78000006</v>
      </c>
      <c r="F16" s="1720">
        <f>SUM(F4:F15)</f>
        <v>5432762</v>
      </c>
      <c r="G16" s="1721">
        <f>SUM(G4:G15)</f>
        <v>249835018.57999998</v>
      </c>
      <c r="H16" s="1718">
        <f t="shared" si="0"/>
        <v>2916305</v>
      </c>
      <c r="I16" s="1719">
        <f>SUM(I4:I15)</f>
        <v>256154310.75999999</v>
      </c>
      <c r="J16" s="1778"/>
    </row>
    <row r="18" spans="1:2">
      <c r="A18" s="1663" t="s">
        <v>1052</v>
      </c>
      <c r="B18" s="1663"/>
    </row>
    <row r="20" spans="1:2">
      <c r="A20" s="1663" t="s">
        <v>1053</v>
      </c>
      <c r="B20" s="1663"/>
    </row>
    <row r="22" spans="1:2">
      <c r="A22" s="1663" t="s">
        <v>1054</v>
      </c>
      <c r="B22" s="1663"/>
    </row>
  </sheetData>
  <mergeCells count="3">
    <mergeCell ref="A1:I1"/>
    <mergeCell ref="A2:E2"/>
    <mergeCell ref="G2:I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447"/>
  <sheetViews>
    <sheetView topLeftCell="C1" zoomScale="98" zoomScaleNormal="98" workbookViewId="0">
      <selection activeCell="G14" sqref="G14"/>
    </sheetView>
  </sheetViews>
  <sheetFormatPr defaultRowHeight="15"/>
  <cols>
    <col min="1" max="1" width="14.5703125" style="1591" customWidth="1"/>
    <col min="2" max="2" width="9.140625" style="1591" customWidth="1"/>
    <col min="3" max="3" width="13" style="1591" bestFit="1" customWidth="1"/>
    <col min="4" max="6" width="11.5703125" style="1591" bestFit="1" customWidth="1"/>
    <col min="7" max="7" width="11.140625" style="1591" bestFit="1" customWidth="1"/>
    <col min="8" max="12" width="10.5703125" style="1591" bestFit="1" customWidth="1"/>
    <col min="13" max="13" width="11.140625" style="1591" bestFit="1" customWidth="1"/>
    <col min="14" max="15" width="10.5703125" style="1591" bestFit="1" customWidth="1"/>
    <col min="16" max="16" width="12.140625" style="1591" bestFit="1" customWidth="1"/>
    <col min="17" max="17" width="13.28515625" style="1592" bestFit="1" customWidth="1"/>
    <col min="18" max="16384" width="9.140625" style="1591"/>
  </cols>
  <sheetData>
    <row r="1" spans="2:19" ht="15.75" thickBot="1">
      <c r="E1" s="1592" t="s">
        <v>1001</v>
      </c>
      <c r="P1" s="1592"/>
    </row>
    <row r="2" spans="2:19" ht="15.75" thickBot="1">
      <c r="B2" s="2001" t="s">
        <v>953</v>
      </c>
      <c r="C2" s="2002"/>
      <c r="D2" s="2002"/>
      <c r="E2" s="2002"/>
      <c r="F2" s="2002"/>
      <c r="G2" s="2002"/>
      <c r="H2" s="2002"/>
      <c r="I2" s="2002"/>
      <c r="J2" s="2002"/>
      <c r="K2" s="2002"/>
      <c r="L2" s="2002"/>
      <c r="M2" s="2002"/>
      <c r="N2" s="2002"/>
      <c r="O2" s="2003"/>
      <c r="P2" s="1795"/>
      <c r="Q2" s="1775"/>
      <c r="R2" s="1796" t="s">
        <v>374</v>
      </c>
      <c r="S2" s="1775" t="s">
        <v>974</v>
      </c>
    </row>
    <row r="3" spans="2:19" ht="15.75" thickBot="1">
      <c r="B3" s="2004" t="s">
        <v>954</v>
      </c>
      <c r="C3" s="2005"/>
      <c r="D3" s="2004" t="s">
        <v>12</v>
      </c>
      <c r="E3" s="2005"/>
      <c r="F3" s="2004" t="s">
        <v>486</v>
      </c>
      <c r="G3" s="2005"/>
      <c r="H3" s="2004" t="s">
        <v>20</v>
      </c>
      <c r="I3" s="2005"/>
      <c r="J3" s="2004" t="s">
        <v>955</v>
      </c>
      <c r="K3" s="2005"/>
      <c r="L3" s="2004" t="s">
        <v>956</v>
      </c>
      <c r="M3" s="2005"/>
      <c r="N3" s="2004" t="s">
        <v>957</v>
      </c>
      <c r="O3" s="2005"/>
      <c r="P3" s="1795"/>
      <c r="Q3" s="1797" t="s">
        <v>960</v>
      </c>
      <c r="R3" s="1814">
        <f>E5+G5</f>
        <v>1000</v>
      </c>
      <c r="S3" s="1814">
        <f>M5+O5</f>
        <v>316</v>
      </c>
    </row>
    <row r="4" spans="2:19" ht="15.75" thickBot="1">
      <c r="B4" s="1798" t="s">
        <v>958</v>
      </c>
      <c r="C4" s="1798" t="s">
        <v>959</v>
      </c>
      <c r="D4" s="1798" t="s">
        <v>958</v>
      </c>
      <c r="E4" s="1798" t="s">
        <v>959</v>
      </c>
      <c r="F4" s="1798" t="s">
        <v>958</v>
      </c>
      <c r="G4" s="1798" t="s">
        <v>959</v>
      </c>
      <c r="H4" s="1798" t="s">
        <v>958</v>
      </c>
      <c r="I4" s="1798" t="s">
        <v>959</v>
      </c>
      <c r="J4" s="1798" t="s">
        <v>958</v>
      </c>
      <c r="K4" s="1798" t="s">
        <v>959</v>
      </c>
      <c r="L4" s="1798" t="s">
        <v>958</v>
      </c>
      <c r="M4" s="1798" t="s">
        <v>959</v>
      </c>
      <c r="N4" s="1798" t="s">
        <v>958</v>
      </c>
      <c r="O4" s="1798" t="s">
        <v>959</v>
      </c>
      <c r="P4" s="1795"/>
      <c r="Q4" s="1799" t="s">
        <v>961</v>
      </c>
      <c r="R4" s="1814">
        <f t="shared" ref="R4:R16" si="0">E6+G6</f>
        <v>3666</v>
      </c>
      <c r="S4" s="1814">
        <f t="shared" ref="S4:S16" si="1">M6+O6</f>
        <v>985</v>
      </c>
    </row>
    <row r="5" spans="2:19">
      <c r="B5" s="1816" t="s">
        <v>960</v>
      </c>
      <c r="C5" s="1801">
        <f>C91</f>
        <v>191990</v>
      </c>
      <c r="D5" s="1800" t="s">
        <v>960</v>
      </c>
      <c r="E5" s="1801">
        <f>C152</f>
        <v>949</v>
      </c>
      <c r="F5" s="1800" t="s">
        <v>960</v>
      </c>
      <c r="G5" s="1801">
        <f>C213</f>
        <v>51</v>
      </c>
      <c r="H5" s="1800" t="s">
        <v>960</v>
      </c>
      <c r="I5" s="1801">
        <f>C366</f>
        <v>418</v>
      </c>
      <c r="J5" s="1800" t="s">
        <v>960</v>
      </c>
      <c r="K5" s="1801">
        <f>C427</f>
        <v>225</v>
      </c>
      <c r="L5" s="1800" t="s">
        <v>960</v>
      </c>
      <c r="M5" s="1801">
        <f>C259</f>
        <v>204</v>
      </c>
      <c r="N5" s="1800" t="s">
        <v>960</v>
      </c>
      <c r="O5" s="1801">
        <f>C305</f>
        <v>112</v>
      </c>
      <c r="P5" s="1795"/>
      <c r="Q5" s="1799" t="s">
        <v>962</v>
      </c>
      <c r="R5" s="1814">
        <f t="shared" si="0"/>
        <v>2414</v>
      </c>
      <c r="S5" s="1814">
        <f t="shared" si="1"/>
        <v>870</v>
      </c>
    </row>
    <row r="6" spans="2:19">
      <c r="B6" s="1802" t="s">
        <v>961</v>
      </c>
      <c r="C6" s="1803">
        <f>D91</f>
        <v>692128</v>
      </c>
      <c r="D6" s="1802" t="s">
        <v>961</v>
      </c>
      <c r="E6" s="1803">
        <f>D152</f>
        <v>3271</v>
      </c>
      <c r="F6" s="1802" t="s">
        <v>961</v>
      </c>
      <c r="G6" s="1803">
        <f>D213</f>
        <v>395</v>
      </c>
      <c r="H6" s="1802" t="s">
        <v>961</v>
      </c>
      <c r="I6" s="1803">
        <f>D366</f>
        <v>1632</v>
      </c>
      <c r="J6" s="1802" t="s">
        <v>961</v>
      </c>
      <c r="K6" s="1803">
        <f>D427</f>
        <v>1693</v>
      </c>
      <c r="L6" s="1802" t="s">
        <v>961</v>
      </c>
      <c r="M6" s="1803">
        <f>D259</f>
        <v>762</v>
      </c>
      <c r="N6" s="1802" t="s">
        <v>961</v>
      </c>
      <c r="O6" s="1803">
        <f>D305</f>
        <v>223</v>
      </c>
      <c r="P6" s="1795"/>
      <c r="Q6" s="1799" t="s">
        <v>963</v>
      </c>
      <c r="R6" s="1814">
        <f t="shared" si="0"/>
        <v>1444</v>
      </c>
      <c r="S6" s="1814">
        <f t="shared" si="1"/>
        <v>1358</v>
      </c>
    </row>
    <row r="7" spans="2:19">
      <c r="B7" s="1802" t="s">
        <v>962</v>
      </c>
      <c r="C7" s="1803">
        <f>E91</f>
        <v>356903</v>
      </c>
      <c r="D7" s="1802" t="s">
        <v>962</v>
      </c>
      <c r="E7" s="1803">
        <f>E152</f>
        <v>2245</v>
      </c>
      <c r="F7" s="1802" t="s">
        <v>962</v>
      </c>
      <c r="G7" s="1803">
        <f>E213</f>
        <v>169</v>
      </c>
      <c r="H7" s="1802" t="s">
        <v>962</v>
      </c>
      <c r="I7" s="1803">
        <f>E366</f>
        <v>1204</v>
      </c>
      <c r="J7" s="1802" t="s">
        <v>962</v>
      </c>
      <c r="K7" s="1803">
        <f>E427</f>
        <v>1089</v>
      </c>
      <c r="L7" s="1802" t="s">
        <v>962</v>
      </c>
      <c r="M7" s="1803">
        <f>E259</f>
        <v>454</v>
      </c>
      <c r="N7" s="1802" t="s">
        <v>962</v>
      </c>
      <c r="O7" s="1803">
        <f>E305</f>
        <v>416</v>
      </c>
      <c r="P7" s="1795"/>
      <c r="Q7" s="1799" t="s">
        <v>964</v>
      </c>
      <c r="R7" s="1814">
        <f t="shared" si="0"/>
        <v>2110</v>
      </c>
      <c r="S7" s="1814">
        <f t="shared" si="1"/>
        <v>1044</v>
      </c>
    </row>
    <row r="8" spans="2:19">
      <c r="B8" s="1802" t="s">
        <v>963</v>
      </c>
      <c r="C8" s="1803">
        <f>F91</f>
        <v>184235</v>
      </c>
      <c r="D8" s="1802" t="s">
        <v>963</v>
      </c>
      <c r="E8" s="1803">
        <f>F152</f>
        <v>1374</v>
      </c>
      <c r="F8" s="1802" t="s">
        <v>963</v>
      </c>
      <c r="G8" s="1803">
        <f>F213</f>
        <v>70</v>
      </c>
      <c r="H8" s="1802" t="s">
        <v>963</v>
      </c>
      <c r="I8" s="1803">
        <f>F366</f>
        <v>1213</v>
      </c>
      <c r="J8" s="1802" t="s">
        <v>963</v>
      </c>
      <c r="K8" s="1803">
        <f>F427</f>
        <v>1402</v>
      </c>
      <c r="L8" s="1802" t="s">
        <v>963</v>
      </c>
      <c r="M8" s="1803">
        <f>F259</f>
        <v>911</v>
      </c>
      <c r="N8" s="1802" t="s">
        <v>963</v>
      </c>
      <c r="O8" s="1803">
        <f>F305</f>
        <v>447</v>
      </c>
      <c r="P8" s="1795"/>
      <c r="Q8" s="1799" t="s">
        <v>965</v>
      </c>
      <c r="R8" s="1814">
        <f t="shared" si="0"/>
        <v>2008</v>
      </c>
      <c r="S8" s="1814">
        <f t="shared" si="1"/>
        <v>1064</v>
      </c>
    </row>
    <row r="9" spans="2:19">
      <c r="B9" s="1802" t="s">
        <v>964</v>
      </c>
      <c r="C9" s="1803">
        <f>G91</f>
        <v>120953</v>
      </c>
      <c r="D9" s="1802" t="s">
        <v>964</v>
      </c>
      <c r="E9" s="1803">
        <f>G152</f>
        <v>2110</v>
      </c>
      <c r="F9" s="1802" t="s">
        <v>964</v>
      </c>
      <c r="G9" s="1803">
        <f>G213</f>
        <v>0</v>
      </c>
      <c r="H9" s="1802" t="s">
        <v>964</v>
      </c>
      <c r="I9" s="1803">
        <f>G366</f>
        <v>927</v>
      </c>
      <c r="J9" s="1802" t="s">
        <v>964</v>
      </c>
      <c r="K9" s="1803">
        <f>G427</f>
        <v>1474</v>
      </c>
      <c r="L9" s="1802" t="s">
        <v>964</v>
      </c>
      <c r="M9" s="1803">
        <f>G259</f>
        <v>670</v>
      </c>
      <c r="N9" s="1802" t="s">
        <v>964</v>
      </c>
      <c r="O9" s="1803">
        <f>G305</f>
        <v>374</v>
      </c>
      <c r="P9" s="1795"/>
      <c r="Q9" s="1799" t="s">
        <v>966</v>
      </c>
      <c r="R9" s="1814">
        <f t="shared" si="0"/>
        <v>1704</v>
      </c>
      <c r="S9" s="1814">
        <f t="shared" si="1"/>
        <v>689</v>
      </c>
    </row>
    <row r="10" spans="2:19">
      <c r="B10" s="1802" t="s">
        <v>965</v>
      </c>
      <c r="C10" s="1803">
        <f>H91</f>
        <v>84006</v>
      </c>
      <c r="D10" s="1802" t="s">
        <v>965</v>
      </c>
      <c r="E10" s="1803">
        <f>H152</f>
        <v>2008</v>
      </c>
      <c r="F10" s="1802" t="s">
        <v>965</v>
      </c>
      <c r="G10" s="1803">
        <f>H213</f>
        <v>0</v>
      </c>
      <c r="H10" s="1802" t="s">
        <v>965</v>
      </c>
      <c r="I10" s="1803">
        <f>H366</f>
        <v>1027</v>
      </c>
      <c r="J10" s="1802" t="s">
        <v>965</v>
      </c>
      <c r="K10" s="1803">
        <f>H427</f>
        <v>1476</v>
      </c>
      <c r="L10" s="1802" t="s">
        <v>965</v>
      </c>
      <c r="M10" s="1803">
        <f>H259</f>
        <v>565</v>
      </c>
      <c r="N10" s="1802" t="s">
        <v>965</v>
      </c>
      <c r="O10" s="1803">
        <f>H305</f>
        <v>499</v>
      </c>
      <c r="P10" s="1795"/>
      <c r="Q10" s="1799" t="s">
        <v>967</v>
      </c>
      <c r="R10" s="1814">
        <f t="shared" si="0"/>
        <v>1681</v>
      </c>
      <c r="S10" s="1814">
        <f t="shared" si="1"/>
        <v>864</v>
      </c>
    </row>
    <row r="11" spans="2:19">
      <c r="B11" s="1802" t="s">
        <v>966</v>
      </c>
      <c r="C11" s="1803">
        <f>I91</f>
        <v>55307</v>
      </c>
      <c r="D11" s="1802" t="s">
        <v>966</v>
      </c>
      <c r="E11" s="1803">
        <f>I152</f>
        <v>1704</v>
      </c>
      <c r="F11" s="1802" t="s">
        <v>966</v>
      </c>
      <c r="G11" s="1803">
        <f>I213</f>
        <v>0</v>
      </c>
      <c r="H11" s="1802" t="s">
        <v>966</v>
      </c>
      <c r="I11" s="1803">
        <f>I366</f>
        <v>620</v>
      </c>
      <c r="J11" s="1802" t="s">
        <v>966</v>
      </c>
      <c r="K11" s="1803">
        <f>I427</f>
        <v>1306</v>
      </c>
      <c r="L11" s="1802" t="s">
        <v>966</v>
      </c>
      <c r="M11" s="1803">
        <f>I259</f>
        <v>461</v>
      </c>
      <c r="N11" s="1802" t="s">
        <v>966</v>
      </c>
      <c r="O11" s="1803">
        <f>I305</f>
        <v>228</v>
      </c>
      <c r="P11" s="1795"/>
      <c r="Q11" s="1799" t="s">
        <v>968</v>
      </c>
      <c r="R11" s="1814">
        <f t="shared" si="0"/>
        <v>1789</v>
      </c>
      <c r="S11" s="1814">
        <f t="shared" si="1"/>
        <v>1164</v>
      </c>
    </row>
    <row r="12" spans="2:19">
      <c r="B12" s="1802" t="s">
        <v>967</v>
      </c>
      <c r="C12" s="1803">
        <f>J91</f>
        <v>47611</v>
      </c>
      <c r="D12" s="1802" t="s">
        <v>967</v>
      </c>
      <c r="E12" s="1803">
        <f>J152</f>
        <v>1681</v>
      </c>
      <c r="F12" s="1802" t="s">
        <v>967</v>
      </c>
      <c r="G12" s="1803">
        <f>J213</f>
        <v>0</v>
      </c>
      <c r="H12" s="1802" t="s">
        <v>967</v>
      </c>
      <c r="I12" s="1803">
        <f>J366</f>
        <v>723</v>
      </c>
      <c r="J12" s="1802" t="s">
        <v>967</v>
      </c>
      <c r="K12" s="1803">
        <f>J427</f>
        <v>1306</v>
      </c>
      <c r="L12" s="1802" t="s">
        <v>967</v>
      </c>
      <c r="M12" s="1803">
        <f>J259</f>
        <v>563</v>
      </c>
      <c r="N12" s="1802" t="s">
        <v>967</v>
      </c>
      <c r="O12" s="1803">
        <f>J305</f>
        <v>301</v>
      </c>
      <c r="P12" s="1795"/>
      <c r="Q12" s="1799" t="s">
        <v>969</v>
      </c>
      <c r="R12" s="1814">
        <f t="shared" si="0"/>
        <v>1778</v>
      </c>
      <c r="S12" s="1814">
        <f t="shared" si="1"/>
        <v>1699</v>
      </c>
    </row>
    <row r="13" spans="2:19">
      <c r="B13" s="1802" t="s">
        <v>968</v>
      </c>
      <c r="C13" s="1803">
        <f>K91</f>
        <v>36692</v>
      </c>
      <c r="D13" s="1802" t="s">
        <v>968</v>
      </c>
      <c r="E13" s="1803">
        <f>K152</f>
        <v>1789</v>
      </c>
      <c r="F13" s="1802" t="s">
        <v>968</v>
      </c>
      <c r="G13" s="1803">
        <f>K213</f>
        <v>0</v>
      </c>
      <c r="H13" s="1802" t="s">
        <v>968</v>
      </c>
      <c r="I13" s="1803">
        <f>K366</f>
        <v>608</v>
      </c>
      <c r="J13" s="1802" t="s">
        <v>968</v>
      </c>
      <c r="K13" s="1803">
        <f>K427</f>
        <v>1295</v>
      </c>
      <c r="L13" s="1802" t="s">
        <v>968</v>
      </c>
      <c r="M13" s="1803">
        <f>K259</f>
        <v>861</v>
      </c>
      <c r="N13" s="1802" t="s">
        <v>968</v>
      </c>
      <c r="O13" s="1803">
        <f>K305</f>
        <v>303</v>
      </c>
      <c r="P13" s="1795"/>
      <c r="Q13" s="1799" t="s">
        <v>970</v>
      </c>
      <c r="R13" s="1814">
        <f t="shared" si="0"/>
        <v>10591</v>
      </c>
      <c r="S13" s="1814">
        <f t="shared" si="1"/>
        <v>7123</v>
      </c>
    </row>
    <row r="14" spans="2:19">
      <c r="B14" s="1802" t="s">
        <v>969</v>
      </c>
      <c r="C14" s="1803">
        <f>L91</f>
        <v>31059</v>
      </c>
      <c r="D14" s="1802" t="s">
        <v>969</v>
      </c>
      <c r="E14" s="1803">
        <f>L152</f>
        <v>1778</v>
      </c>
      <c r="F14" s="1802" t="s">
        <v>969</v>
      </c>
      <c r="G14" s="1803">
        <f>L213</f>
        <v>0</v>
      </c>
      <c r="H14" s="1802" t="s">
        <v>969</v>
      </c>
      <c r="I14" s="1803">
        <f>L366</f>
        <v>1122</v>
      </c>
      <c r="J14" s="1802" t="s">
        <v>969</v>
      </c>
      <c r="K14" s="1803">
        <f>L427</f>
        <v>3622</v>
      </c>
      <c r="L14" s="1802" t="s">
        <v>969</v>
      </c>
      <c r="M14" s="1803">
        <f>L259</f>
        <v>909</v>
      </c>
      <c r="N14" s="1802" t="s">
        <v>969</v>
      </c>
      <c r="O14" s="1803">
        <f>L305</f>
        <v>790</v>
      </c>
      <c r="P14" s="1795"/>
      <c r="Q14" s="1799" t="s">
        <v>971</v>
      </c>
      <c r="R14" s="1814">
        <f t="shared" si="0"/>
        <v>11905</v>
      </c>
      <c r="S14" s="1814">
        <f t="shared" si="1"/>
        <v>7235</v>
      </c>
    </row>
    <row r="15" spans="2:19">
      <c r="B15" s="1802" t="s">
        <v>970</v>
      </c>
      <c r="C15" s="1803">
        <f>M91</f>
        <v>130516</v>
      </c>
      <c r="D15" s="1802" t="s">
        <v>970</v>
      </c>
      <c r="E15" s="1803">
        <f>M152</f>
        <v>10591</v>
      </c>
      <c r="F15" s="1802" t="s">
        <v>970</v>
      </c>
      <c r="G15" s="1803">
        <f>M213</f>
        <v>0</v>
      </c>
      <c r="H15" s="1802" t="s">
        <v>970</v>
      </c>
      <c r="I15" s="1803">
        <f>M366</f>
        <v>9743</v>
      </c>
      <c r="J15" s="1802" t="s">
        <v>970</v>
      </c>
      <c r="K15" s="1803">
        <f>M427</f>
        <v>11224</v>
      </c>
      <c r="L15" s="1802" t="s">
        <v>970</v>
      </c>
      <c r="M15" s="1803">
        <f>M259</f>
        <v>4019</v>
      </c>
      <c r="N15" s="1802" t="s">
        <v>970</v>
      </c>
      <c r="O15" s="1803">
        <f>M305</f>
        <v>3104</v>
      </c>
      <c r="P15" s="1795"/>
      <c r="Q15" s="1799" t="s">
        <v>972</v>
      </c>
      <c r="R15" s="1814">
        <f t="shared" si="0"/>
        <v>8332</v>
      </c>
      <c r="S15" s="1814">
        <f t="shared" si="1"/>
        <v>4381</v>
      </c>
    </row>
    <row r="16" spans="2:19" ht="15.75" thickBot="1">
      <c r="B16" s="1802" t="s">
        <v>971</v>
      </c>
      <c r="C16" s="1803">
        <f>N91</f>
        <v>59160</v>
      </c>
      <c r="D16" s="1802" t="s">
        <v>971</v>
      </c>
      <c r="E16" s="1803">
        <f>N152</f>
        <v>11905</v>
      </c>
      <c r="F16" s="1802" t="s">
        <v>971</v>
      </c>
      <c r="G16" s="1803">
        <f>N213</f>
        <v>0</v>
      </c>
      <c r="H16" s="1802" t="s">
        <v>971</v>
      </c>
      <c r="I16" s="1803">
        <f>N366</f>
        <v>15623</v>
      </c>
      <c r="J16" s="1802" t="s">
        <v>971</v>
      </c>
      <c r="K16" s="1803">
        <f>N427</f>
        <v>4730</v>
      </c>
      <c r="L16" s="1802" t="s">
        <v>971</v>
      </c>
      <c r="M16" s="1803">
        <f>N259</f>
        <v>3806</v>
      </c>
      <c r="N16" s="1802" t="s">
        <v>971</v>
      </c>
      <c r="O16" s="1803">
        <f>N305</f>
        <v>3429</v>
      </c>
      <c r="P16" s="1795"/>
      <c r="Q16" s="1804" t="s">
        <v>973</v>
      </c>
      <c r="R16" s="1814">
        <f t="shared" si="0"/>
        <v>94837</v>
      </c>
      <c r="S16" s="1814">
        <f t="shared" si="1"/>
        <v>45830</v>
      </c>
    </row>
    <row r="17" spans="1:19">
      <c r="B17" s="1802" t="s">
        <v>972</v>
      </c>
      <c r="C17" s="1803">
        <f>O91</f>
        <v>23891</v>
      </c>
      <c r="D17" s="1802" t="s">
        <v>972</v>
      </c>
      <c r="E17" s="1803">
        <f>O152</f>
        <v>8332</v>
      </c>
      <c r="F17" s="1802" t="s">
        <v>972</v>
      </c>
      <c r="G17" s="1803">
        <f>O213</f>
        <v>0</v>
      </c>
      <c r="H17" s="1802" t="s">
        <v>972</v>
      </c>
      <c r="I17" s="1803">
        <f>O366</f>
        <v>13443</v>
      </c>
      <c r="J17" s="1802" t="s">
        <v>972</v>
      </c>
      <c r="K17" s="1803">
        <f>O427</f>
        <v>805</v>
      </c>
      <c r="L17" s="1802" t="s">
        <v>972</v>
      </c>
      <c r="M17" s="1803">
        <f>O259</f>
        <v>1991</v>
      </c>
      <c r="N17" s="1802" t="s">
        <v>972</v>
      </c>
      <c r="O17" s="1803">
        <f>O305</f>
        <v>2390</v>
      </c>
      <c r="P17" s="1795"/>
      <c r="Q17" s="1775"/>
      <c r="R17" s="1814">
        <f>SUM(R3:R16)</f>
        <v>145259</v>
      </c>
      <c r="S17" s="1814">
        <f>SUM(S3:S16)</f>
        <v>74622</v>
      </c>
    </row>
    <row r="18" spans="1:19" ht="15.75" thickBot="1">
      <c r="B18" s="1805" t="s">
        <v>973</v>
      </c>
      <c r="C18" s="1806">
        <f>P91</f>
        <v>21986</v>
      </c>
      <c r="D18" s="1805" t="s">
        <v>973</v>
      </c>
      <c r="E18" s="1806">
        <f>P152</f>
        <v>94837</v>
      </c>
      <c r="F18" s="1805" t="s">
        <v>973</v>
      </c>
      <c r="G18" s="1806">
        <f>P213</f>
        <v>0</v>
      </c>
      <c r="H18" s="1805" t="s">
        <v>973</v>
      </c>
      <c r="I18" s="1806">
        <f>P366</f>
        <v>116782</v>
      </c>
      <c r="J18" s="1805" t="s">
        <v>973</v>
      </c>
      <c r="K18" s="1806">
        <f>P427</f>
        <v>8601</v>
      </c>
      <c r="L18" s="1805" t="s">
        <v>973</v>
      </c>
      <c r="M18" s="1806">
        <f>P259</f>
        <v>45086</v>
      </c>
      <c r="N18" s="1805" t="s">
        <v>973</v>
      </c>
      <c r="O18" s="1806">
        <f>P305</f>
        <v>744</v>
      </c>
      <c r="P18" s="1795"/>
    </row>
    <row r="19" spans="1:19" ht="15.75" thickBot="1">
      <c r="B19" s="1807"/>
      <c r="C19" s="1808">
        <f>SUM(C5:C18)</f>
        <v>2036437</v>
      </c>
      <c r="D19" s="1807"/>
      <c r="E19" s="1808">
        <f>SUM(E5:E18)</f>
        <v>144574</v>
      </c>
      <c r="F19" s="1807"/>
      <c r="G19" s="1808">
        <f>SUM(G5:G18)</f>
        <v>685</v>
      </c>
      <c r="H19" s="1807"/>
      <c r="I19" s="1808">
        <f>SUM(I5:I18)</f>
        <v>165085</v>
      </c>
      <c r="J19" s="1807"/>
      <c r="K19" s="1808">
        <f>SUM(K5:K18)</f>
        <v>40248</v>
      </c>
      <c r="L19" s="1807"/>
      <c r="M19" s="1808">
        <f>SUM(M5:M18)</f>
        <v>61262</v>
      </c>
      <c r="N19" s="1807"/>
      <c r="O19" s="1808">
        <f>SUM(O5:O18)</f>
        <v>13360</v>
      </c>
      <c r="P19" s="1809">
        <f>SUM(C19:O19)</f>
        <v>2461651</v>
      </c>
    </row>
    <row r="20" spans="1:19">
      <c r="Q20" s="1591"/>
    </row>
    <row r="21" spans="1:19">
      <c r="B21" s="1810" t="s">
        <v>10</v>
      </c>
      <c r="C21" s="1810"/>
      <c r="D21" s="1810"/>
      <c r="E21" s="1810" t="s">
        <v>374</v>
      </c>
      <c r="F21" s="1775"/>
      <c r="G21" s="1775"/>
      <c r="H21" s="1739"/>
      <c r="I21" s="1814"/>
      <c r="J21" s="1739"/>
      <c r="K21" s="1775"/>
      <c r="L21" s="1810" t="s">
        <v>956</v>
      </c>
      <c r="M21" s="1775"/>
      <c r="Q21" s="1591"/>
    </row>
    <row r="22" spans="1:19" ht="17.25">
      <c r="B22" s="179" t="s">
        <v>889</v>
      </c>
      <c r="C22" s="1739">
        <f>C5/C19</f>
        <v>9.4277407059486742E-2</v>
      </c>
      <c r="D22" s="1775"/>
      <c r="E22" s="179" t="s">
        <v>890</v>
      </c>
      <c r="F22" s="1739">
        <f>SUM(R3:R12)/R17</f>
        <v>0.13489009286860024</v>
      </c>
      <c r="G22" s="1775"/>
      <c r="H22" s="179" t="s">
        <v>891</v>
      </c>
      <c r="I22" s="1739"/>
      <c r="J22" s="1739"/>
      <c r="K22" s="1775"/>
      <c r="L22" s="179" t="s">
        <v>890</v>
      </c>
      <c r="M22" s="1739">
        <f>SUM(S3:S12)/S17</f>
        <v>0.1347189836777358</v>
      </c>
      <c r="Q22" s="1591"/>
    </row>
    <row r="23" spans="1:19" ht="17.25">
      <c r="B23" s="179" t="s">
        <v>480</v>
      </c>
      <c r="C23" s="1739">
        <f>SUM(C6:C8)/C19</f>
        <v>0.6055998786115161</v>
      </c>
      <c r="D23" s="1775"/>
      <c r="E23" s="179" t="s">
        <v>477</v>
      </c>
      <c r="F23" s="1739">
        <f>R13/R17</f>
        <v>7.2911144920452434E-2</v>
      </c>
      <c r="G23" s="1775"/>
      <c r="H23" s="179" t="s">
        <v>384</v>
      </c>
      <c r="I23" s="1775"/>
      <c r="J23" s="1739"/>
      <c r="K23" s="1775"/>
      <c r="L23" s="179" t="s">
        <v>477</v>
      </c>
      <c r="M23" s="1739">
        <f>S13/S17</f>
        <v>9.5454423628420576E-2</v>
      </c>
      <c r="Q23" s="1591"/>
    </row>
    <row r="24" spans="1:19">
      <c r="B24" s="179" t="s">
        <v>476</v>
      </c>
      <c r="C24" s="1739">
        <f>SUM(C9:C14)/C19</f>
        <v>0.18445353330351</v>
      </c>
      <c r="D24" s="1775"/>
      <c r="E24" s="179" t="s">
        <v>478</v>
      </c>
      <c r="F24" s="1739">
        <f>SUM(R14:R15)/R17</f>
        <v>0.13931666884668076</v>
      </c>
      <c r="G24" s="1775"/>
      <c r="H24" s="179" t="s">
        <v>379</v>
      </c>
      <c r="I24" s="1775"/>
      <c r="J24" s="1739"/>
      <c r="K24" s="1775"/>
      <c r="L24" s="179" t="s">
        <v>478</v>
      </c>
      <c r="M24" s="1739">
        <f>SUM(S14:S15)/S17</f>
        <v>0.15566454932861623</v>
      </c>
      <c r="Q24" s="1591"/>
    </row>
    <row r="25" spans="1:19">
      <c r="B25" s="179" t="s">
        <v>477</v>
      </c>
      <c r="C25" s="1739">
        <f>SUM(C15/C19)</f>
        <v>6.4090369601416591E-2</v>
      </c>
      <c r="D25" s="1775"/>
      <c r="E25" s="179" t="s">
        <v>479</v>
      </c>
      <c r="F25" s="1739">
        <f>R16/R17</f>
        <v>0.65288209336426661</v>
      </c>
      <c r="G25" s="1775"/>
      <c r="H25" s="1739"/>
      <c r="I25" s="1775"/>
      <c r="J25" s="1739"/>
      <c r="K25" s="1775"/>
      <c r="L25" s="179" t="s">
        <v>479</v>
      </c>
      <c r="M25" s="1739">
        <f>S16/S17</f>
        <v>0.61416204336522739</v>
      </c>
      <c r="Q25" s="1591"/>
    </row>
    <row r="26" spans="1:19">
      <c r="B26" s="179" t="s">
        <v>478</v>
      </c>
      <c r="C26" s="1739">
        <f>SUM(C16:C17)/C19</f>
        <v>4.078250395175495E-2</v>
      </c>
      <c r="D26" s="1775"/>
      <c r="E26" s="1775"/>
      <c r="F26" s="1815">
        <f>SUM(F22:F25)</f>
        <v>1</v>
      </c>
      <c r="G26" s="1775"/>
      <c r="H26" s="1739"/>
      <c r="I26" s="1775"/>
      <c r="J26" s="1739"/>
      <c r="K26" s="1775"/>
      <c r="L26" s="1775"/>
      <c r="M26" s="1815">
        <f>SUM(M22:M25)</f>
        <v>1</v>
      </c>
      <c r="Q26" s="1591"/>
    </row>
    <row r="27" spans="1:19">
      <c r="B27" s="179" t="s">
        <v>479</v>
      </c>
      <c r="C27" s="1739">
        <f>C18/C19</f>
        <v>1.0796307472315619E-2</v>
      </c>
      <c r="D27" s="1775"/>
      <c r="E27" s="1775"/>
      <c r="F27" s="1775"/>
      <c r="G27" s="1775"/>
      <c r="H27" s="1739"/>
      <c r="I27" s="1775"/>
      <c r="J27" s="1739"/>
      <c r="K27" s="1775"/>
      <c r="L27" s="1775"/>
      <c r="M27" s="1775"/>
      <c r="N27" s="1811"/>
      <c r="O27" s="1812"/>
      <c r="P27" s="1809"/>
    </row>
    <row r="28" spans="1:19" s="1775" customFormat="1">
      <c r="C28" s="1739">
        <f>SUM(C22:C27)</f>
        <v>1</v>
      </c>
    </row>
    <row r="29" spans="1:19" s="1593" customFormat="1">
      <c r="E29" s="1593" t="s">
        <v>1000</v>
      </c>
    </row>
    <row r="30" spans="1:19" s="1593" customFormat="1">
      <c r="C30" s="1593" t="s">
        <v>960</v>
      </c>
      <c r="D30" s="1593" t="s">
        <v>961</v>
      </c>
      <c r="E30" s="1593" t="s">
        <v>962</v>
      </c>
      <c r="F30" s="1593" t="s">
        <v>963</v>
      </c>
      <c r="G30" s="1593" t="s">
        <v>964</v>
      </c>
      <c r="H30" s="1593" t="s">
        <v>965</v>
      </c>
      <c r="I30" s="1593" t="s">
        <v>966</v>
      </c>
      <c r="J30" s="1593" t="s">
        <v>967</v>
      </c>
      <c r="K30" s="1593" t="s">
        <v>968</v>
      </c>
      <c r="L30" s="1593" t="s">
        <v>969</v>
      </c>
      <c r="M30" s="1593" t="s">
        <v>970</v>
      </c>
      <c r="N30" s="1593" t="s">
        <v>971</v>
      </c>
      <c r="O30" s="1593" t="s">
        <v>972</v>
      </c>
      <c r="P30" s="1593" t="s">
        <v>973</v>
      </c>
      <c r="Q30" s="1593" t="s">
        <v>22</v>
      </c>
    </row>
    <row r="31" spans="1:19" s="1595" customFormat="1">
      <c r="A31" s="1594" t="s">
        <v>975</v>
      </c>
      <c r="Q31" s="1594"/>
    </row>
    <row r="32" spans="1:19">
      <c r="A32" s="1592" t="s">
        <v>976</v>
      </c>
    </row>
    <row r="33" spans="1:17">
      <c r="A33" s="1591" t="s">
        <v>977</v>
      </c>
      <c r="B33" s="1591" t="s">
        <v>958</v>
      </c>
      <c r="C33" s="1591">
        <v>11217</v>
      </c>
      <c r="D33" s="1591">
        <v>43620</v>
      </c>
      <c r="E33" s="1591">
        <v>17683</v>
      </c>
      <c r="F33" s="1591">
        <v>9201</v>
      </c>
      <c r="G33" s="1591">
        <v>6381</v>
      </c>
      <c r="H33" s="1591">
        <v>4489</v>
      </c>
      <c r="I33" s="1591">
        <v>3074</v>
      </c>
      <c r="J33" s="1591">
        <v>2336</v>
      </c>
      <c r="K33" s="1591">
        <v>1834</v>
      </c>
      <c r="L33" s="1591">
        <v>1585</v>
      </c>
      <c r="M33" s="1591">
        <v>5956</v>
      </c>
      <c r="N33" s="1591">
        <v>2605</v>
      </c>
      <c r="O33" s="1591">
        <v>1406</v>
      </c>
      <c r="P33" s="1591">
        <v>758</v>
      </c>
      <c r="Q33" s="1592">
        <f>SUM(C33:P33)</f>
        <v>112145</v>
      </c>
    </row>
    <row r="34" spans="1:17">
      <c r="A34" s="1591" t="s">
        <v>978</v>
      </c>
      <c r="B34" s="1591" t="s">
        <v>958</v>
      </c>
      <c r="C34" s="1591">
        <v>12376</v>
      </c>
      <c r="D34" s="1591">
        <v>41608</v>
      </c>
      <c r="E34" s="1591">
        <v>16244</v>
      </c>
      <c r="F34" s="1591">
        <v>8367</v>
      </c>
      <c r="G34" s="1591">
        <v>4861</v>
      </c>
      <c r="H34" s="1591">
        <v>3509</v>
      </c>
      <c r="I34" s="1591">
        <v>1632</v>
      </c>
      <c r="J34" s="1591">
        <v>1996</v>
      </c>
      <c r="K34" s="1591">
        <v>991</v>
      </c>
      <c r="L34" s="1591">
        <v>1172</v>
      </c>
      <c r="M34" s="1591">
        <v>4148</v>
      </c>
      <c r="N34" s="1591">
        <v>2918</v>
      </c>
      <c r="O34" s="1591">
        <v>708</v>
      </c>
      <c r="P34" s="1591">
        <v>2106</v>
      </c>
      <c r="Q34" s="1592">
        <f>SUM(C34:P34)</f>
        <v>102636</v>
      </c>
    </row>
    <row r="35" spans="1:17">
      <c r="A35" s="1591" t="s">
        <v>979</v>
      </c>
      <c r="B35" s="1591" t="s">
        <v>958</v>
      </c>
      <c r="C35" s="1591">
        <v>11211</v>
      </c>
      <c r="D35" s="1591">
        <v>42163</v>
      </c>
      <c r="E35" s="1591">
        <v>18912</v>
      </c>
      <c r="F35" s="1591">
        <v>8812</v>
      </c>
      <c r="G35" s="1591">
        <v>6362</v>
      </c>
      <c r="H35" s="1591">
        <v>4640</v>
      </c>
      <c r="I35" s="1591">
        <v>2572</v>
      </c>
      <c r="J35" s="1591">
        <v>2913</v>
      </c>
      <c r="K35" s="1591">
        <v>1903</v>
      </c>
      <c r="L35" s="1591">
        <v>1935</v>
      </c>
      <c r="M35" s="1591">
        <v>5307</v>
      </c>
      <c r="N35" s="1591">
        <v>2957</v>
      </c>
      <c r="O35" s="1591">
        <v>953</v>
      </c>
      <c r="P35" s="1591">
        <v>1663</v>
      </c>
      <c r="Q35" s="1592">
        <f>SUM(C35:P35)</f>
        <v>112303</v>
      </c>
    </row>
    <row r="36" spans="1:17">
      <c r="A36" s="1591" t="s">
        <v>980</v>
      </c>
      <c r="B36" s="1591" t="s">
        <v>958</v>
      </c>
      <c r="C36" s="1591">
        <v>10945</v>
      </c>
      <c r="D36" s="1591">
        <v>43006</v>
      </c>
      <c r="E36" s="1591">
        <v>18073</v>
      </c>
      <c r="F36" s="1591">
        <v>10333</v>
      </c>
      <c r="G36" s="1591">
        <v>6066</v>
      </c>
      <c r="H36" s="1591">
        <v>4873</v>
      </c>
      <c r="I36" s="1591">
        <v>2555</v>
      </c>
      <c r="J36" s="1591">
        <v>2743</v>
      </c>
      <c r="K36" s="1591">
        <v>2109</v>
      </c>
      <c r="L36" s="1591">
        <v>1639</v>
      </c>
      <c r="M36" s="1591">
        <v>7350</v>
      </c>
      <c r="N36" s="1591">
        <v>3612</v>
      </c>
      <c r="O36" s="1591">
        <v>886</v>
      </c>
      <c r="P36" s="1591">
        <v>0</v>
      </c>
      <c r="Q36" s="1592">
        <f>SUM(C36:P36)</f>
        <v>114190</v>
      </c>
    </row>
    <row r="37" spans="1:17">
      <c r="A37" s="1591" t="s">
        <v>981</v>
      </c>
      <c r="B37" s="1591" t="s">
        <v>958</v>
      </c>
      <c r="C37" s="1591">
        <v>10258</v>
      </c>
      <c r="D37" s="1591">
        <v>44002</v>
      </c>
      <c r="E37" s="1591">
        <v>20197</v>
      </c>
      <c r="F37" s="1591">
        <v>11497</v>
      </c>
      <c r="G37" s="1591">
        <v>7835</v>
      </c>
      <c r="H37" s="1591">
        <v>5175</v>
      </c>
      <c r="I37" s="1591">
        <v>3699</v>
      </c>
      <c r="J37" s="1591">
        <v>3127</v>
      </c>
      <c r="K37" s="1591">
        <v>2738</v>
      </c>
      <c r="L37" s="1591">
        <v>1833</v>
      </c>
      <c r="M37" s="1591">
        <v>9580</v>
      </c>
      <c r="N37" s="1591">
        <v>4877</v>
      </c>
      <c r="O37" s="1591">
        <v>2184</v>
      </c>
      <c r="P37" s="1591">
        <v>559</v>
      </c>
      <c r="Q37" s="1592">
        <f t="shared" ref="Q37:Q43" si="2">SUM(C37:P37)</f>
        <v>127561</v>
      </c>
    </row>
    <row r="38" spans="1:17">
      <c r="A38" s="1591" t="s">
        <v>982</v>
      </c>
      <c r="B38" s="1591" t="s">
        <v>958</v>
      </c>
      <c r="C38" s="1591">
        <v>8281</v>
      </c>
      <c r="D38" s="1591">
        <v>42569</v>
      </c>
      <c r="E38" s="1591">
        <v>23770</v>
      </c>
      <c r="F38" s="1591">
        <v>14694</v>
      </c>
      <c r="G38" s="1591">
        <v>10304</v>
      </c>
      <c r="H38" s="1591">
        <v>7515</v>
      </c>
      <c r="I38" s="1591">
        <v>5751</v>
      </c>
      <c r="J38" s="1591">
        <v>4878</v>
      </c>
      <c r="K38" s="1591">
        <v>3848</v>
      </c>
      <c r="L38" s="1591">
        <v>3511</v>
      </c>
      <c r="M38" s="1591">
        <v>13530</v>
      </c>
      <c r="N38" s="1591">
        <v>5611</v>
      </c>
      <c r="O38" s="1591">
        <v>3341</v>
      </c>
      <c r="P38" s="1591">
        <v>2236</v>
      </c>
      <c r="Q38" s="1592">
        <f t="shared" si="2"/>
        <v>149839</v>
      </c>
    </row>
    <row r="39" spans="1:17">
      <c r="A39" s="1591" t="s">
        <v>983</v>
      </c>
      <c r="B39" s="1591" t="s">
        <v>958</v>
      </c>
      <c r="C39" s="1591">
        <v>12044</v>
      </c>
      <c r="D39" s="1591">
        <v>39914</v>
      </c>
      <c r="E39" s="1591">
        <v>18263</v>
      </c>
      <c r="F39" s="1591">
        <v>9790</v>
      </c>
      <c r="G39" s="1591">
        <v>6669</v>
      </c>
      <c r="H39" s="1591">
        <v>4471</v>
      </c>
      <c r="I39" s="1591">
        <v>3039</v>
      </c>
      <c r="J39" s="1591">
        <v>2809</v>
      </c>
      <c r="K39" s="1591">
        <v>2140</v>
      </c>
      <c r="L39" s="1591">
        <v>1545</v>
      </c>
      <c r="M39" s="1591">
        <v>6583</v>
      </c>
      <c r="N39" s="1591">
        <v>3035</v>
      </c>
      <c r="O39" s="1591">
        <v>476</v>
      </c>
      <c r="P39" s="1591">
        <v>310</v>
      </c>
      <c r="Q39" s="1592">
        <f t="shared" si="2"/>
        <v>111088</v>
      </c>
    </row>
    <row r="40" spans="1:17">
      <c r="A40" s="1591" t="s">
        <v>984</v>
      </c>
      <c r="B40" s="1591" t="s">
        <v>958</v>
      </c>
      <c r="C40" s="1591">
        <v>10437</v>
      </c>
      <c r="D40" s="1591">
        <v>41176</v>
      </c>
      <c r="E40" s="1591">
        <v>20998</v>
      </c>
      <c r="F40" s="1591">
        <v>12184</v>
      </c>
      <c r="G40" s="1591">
        <v>7638</v>
      </c>
      <c r="H40" s="1591">
        <v>5732</v>
      </c>
      <c r="I40" s="1591">
        <v>3521</v>
      </c>
      <c r="J40" s="1591">
        <v>2738</v>
      </c>
      <c r="K40" s="1591">
        <v>2013</v>
      </c>
      <c r="L40" s="1591">
        <v>2115</v>
      </c>
      <c r="M40" s="1591">
        <v>7053</v>
      </c>
      <c r="N40" s="1591">
        <v>2957</v>
      </c>
      <c r="O40" s="1591">
        <v>1360</v>
      </c>
      <c r="P40" s="1591">
        <v>0</v>
      </c>
      <c r="Q40" s="1592">
        <f t="shared" si="2"/>
        <v>119922</v>
      </c>
    </row>
    <row r="41" spans="1:17">
      <c r="A41" s="1591" t="s">
        <v>985</v>
      </c>
      <c r="B41" s="1591" t="s">
        <v>958</v>
      </c>
      <c r="C41" s="1591">
        <v>11025</v>
      </c>
      <c r="D41" s="1591">
        <v>40203</v>
      </c>
      <c r="E41" s="1591">
        <v>21129</v>
      </c>
      <c r="F41" s="1591">
        <v>10576</v>
      </c>
      <c r="G41" s="1591">
        <v>7141</v>
      </c>
      <c r="H41" s="1591">
        <v>4576</v>
      </c>
      <c r="I41" s="1591">
        <v>3025</v>
      </c>
      <c r="J41" s="1591">
        <v>2455</v>
      </c>
      <c r="K41" s="1591">
        <v>1807</v>
      </c>
      <c r="L41" s="1591">
        <v>1126</v>
      </c>
      <c r="M41" s="1591">
        <v>6982</v>
      </c>
      <c r="N41" s="1591">
        <v>3066</v>
      </c>
      <c r="O41" s="1591">
        <v>495</v>
      </c>
      <c r="P41" s="1591">
        <v>0</v>
      </c>
      <c r="Q41" s="1592">
        <f t="shared" si="2"/>
        <v>113606</v>
      </c>
    </row>
    <row r="42" spans="1:17">
      <c r="A42" s="1591" t="s">
        <v>986</v>
      </c>
      <c r="B42" s="1591" t="s">
        <v>958</v>
      </c>
      <c r="C42" s="1591">
        <v>10339</v>
      </c>
      <c r="D42" s="1591">
        <v>40433</v>
      </c>
      <c r="E42" s="1591">
        <v>21871</v>
      </c>
      <c r="F42" s="1591">
        <v>11971</v>
      </c>
      <c r="G42" s="1591">
        <v>7320</v>
      </c>
      <c r="H42" s="1591">
        <v>5133</v>
      </c>
      <c r="I42" s="1591">
        <v>2908</v>
      </c>
      <c r="J42" s="1591">
        <v>2509</v>
      </c>
      <c r="K42" s="1591">
        <v>2151</v>
      </c>
      <c r="L42" s="1591">
        <v>1781</v>
      </c>
      <c r="M42" s="1591">
        <v>6123</v>
      </c>
      <c r="N42" s="1591">
        <v>3913</v>
      </c>
      <c r="O42" s="1591">
        <v>912</v>
      </c>
      <c r="P42" s="1591">
        <v>2378</v>
      </c>
      <c r="Q42" s="1592">
        <f t="shared" si="2"/>
        <v>119742</v>
      </c>
    </row>
    <row r="43" spans="1:17">
      <c r="A43" s="1591" t="s">
        <v>987</v>
      </c>
      <c r="B43" s="1591" t="s">
        <v>958</v>
      </c>
      <c r="C43" s="1591">
        <v>10287</v>
      </c>
      <c r="D43" s="1591">
        <v>34460</v>
      </c>
      <c r="E43" s="1591">
        <v>21408</v>
      </c>
      <c r="F43" s="1591">
        <v>11439</v>
      </c>
      <c r="G43" s="1591">
        <v>7812</v>
      </c>
      <c r="H43" s="1591">
        <v>5290</v>
      </c>
      <c r="I43" s="1591">
        <v>3349</v>
      </c>
      <c r="J43" s="1591">
        <v>2978</v>
      </c>
      <c r="K43" s="1591">
        <v>1848</v>
      </c>
      <c r="L43" s="1591">
        <v>1549</v>
      </c>
      <c r="M43" s="1591">
        <v>6578</v>
      </c>
      <c r="N43" s="1591">
        <v>3036</v>
      </c>
      <c r="O43" s="1591">
        <v>1504</v>
      </c>
      <c r="P43" s="1591">
        <v>888</v>
      </c>
      <c r="Q43" s="1592">
        <f t="shared" si="2"/>
        <v>112426</v>
      </c>
    </row>
    <row r="44" spans="1:17">
      <c r="A44" s="1591" t="s">
        <v>988</v>
      </c>
      <c r="B44" s="1591" t="s">
        <v>958</v>
      </c>
      <c r="C44" s="1591">
        <v>10298</v>
      </c>
      <c r="D44" s="1591">
        <v>35410</v>
      </c>
      <c r="E44" s="1591">
        <v>21447</v>
      </c>
      <c r="F44" s="1591">
        <v>10760</v>
      </c>
      <c r="G44" s="1591">
        <v>7583</v>
      </c>
      <c r="H44" s="1591">
        <v>4627</v>
      </c>
      <c r="I44" s="1591">
        <v>2730</v>
      </c>
      <c r="J44" s="1591">
        <v>2146</v>
      </c>
      <c r="K44" s="1591">
        <v>1867</v>
      </c>
      <c r="L44" s="1591">
        <v>1548</v>
      </c>
      <c r="M44" s="1591">
        <v>6184</v>
      </c>
      <c r="N44" s="1591">
        <v>1629</v>
      </c>
      <c r="O44" s="1591">
        <v>1172</v>
      </c>
      <c r="P44" s="1591">
        <v>698</v>
      </c>
      <c r="Q44" s="1592">
        <f>SUM(C44:P44)</f>
        <v>108099</v>
      </c>
    </row>
    <row r="45" spans="1:17" s="1592" customFormat="1">
      <c r="B45" s="1591" t="s">
        <v>958</v>
      </c>
      <c r="C45" s="1592">
        <f>SUM(C33:C44)</f>
        <v>128718</v>
      </c>
      <c r="D45" s="1592">
        <f t="shared" ref="D45:P45" si="3">SUM(D33:D44)</f>
        <v>488564</v>
      </c>
      <c r="E45" s="1592">
        <f t="shared" si="3"/>
        <v>239995</v>
      </c>
      <c r="F45" s="1592">
        <f t="shared" si="3"/>
        <v>129624</v>
      </c>
      <c r="G45" s="1592">
        <f t="shared" si="3"/>
        <v>85972</v>
      </c>
      <c r="H45" s="1592">
        <f t="shared" si="3"/>
        <v>60030</v>
      </c>
      <c r="I45" s="1592">
        <f t="shared" si="3"/>
        <v>37855</v>
      </c>
      <c r="J45" s="1592">
        <f t="shared" si="3"/>
        <v>33628</v>
      </c>
      <c r="K45" s="1592">
        <f t="shared" si="3"/>
        <v>25249</v>
      </c>
      <c r="L45" s="1592">
        <f t="shared" si="3"/>
        <v>21339</v>
      </c>
      <c r="M45" s="1592">
        <f t="shared" si="3"/>
        <v>85374</v>
      </c>
      <c r="N45" s="1592">
        <f t="shared" si="3"/>
        <v>40216</v>
      </c>
      <c r="O45" s="1592">
        <f t="shared" si="3"/>
        <v>15397</v>
      </c>
      <c r="P45" s="1592">
        <f t="shared" si="3"/>
        <v>11596</v>
      </c>
      <c r="Q45" s="1592">
        <f>SUM(Q33:Q44)</f>
        <v>1403557</v>
      </c>
    </row>
    <row r="47" spans="1:17">
      <c r="A47" s="1592" t="s">
        <v>989</v>
      </c>
    </row>
    <row r="48" spans="1:17">
      <c r="A48" s="1591" t="s">
        <v>977</v>
      </c>
      <c r="B48" s="1591" t="s">
        <v>958</v>
      </c>
      <c r="C48" s="1591">
        <v>2496</v>
      </c>
      <c r="D48" s="1591">
        <v>8829</v>
      </c>
      <c r="E48" s="1591">
        <v>4927</v>
      </c>
      <c r="F48" s="1591">
        <v>2563</v>
      </c>
      <c r="G48" s="1591">
        <v>1401</v>
      </c>
      <c r="H48" s="1591">
        <v>1364</v>
      </c>
      <c r="I48" s="1591">
        <v>591</v>
      </c>
      <c r="J48" s="1591">
        <v>611</v>
      </c>
      <c r="K48" s="1591">
        <v>567</v>
      </c>
      <c r="L48" s="1591">
        <v>720</v>
      </c>
      <c r="M48" s="1591">
        <v>2037</v>
      </c>
      <c r="N48" s="1591">
        <v>1061</v>
      </c>
      <c r="O48" s="1591">
        <v>208</v>
      </c>
      <c r="P48" s="1591">
        <v>0</v>
      </c>
      <c r="Q48" s="1592">
        <f>SUM(C48:P48)</f>
        <v>27375</v>
      </c>
    </row>
    <row r="49" spans="1:17">
      <c r="A49" s="1591" t="s">
        <v>978</v>
      </c>
      <c r="B49" s="1591" t="s">
        <v>958</v>
      </c>
      <c r="C49" s="1591">
        <v>2930</v>
      </c>
      <c r="D49" s="1591">
        <v>9034</v>
      </c>
      <c r="E49" s="1591">
        <v>3780</v>
      </c>
      <c r="F49" s="1591">
        <v>1858</v>
      </c>
      <c r="G49" s="1591">
        <v>995</v>
      </c>
      <c r="H49" s="1591">
        <v>1142</v>
      </c>
      <c r="I49" s="1591">
        <v>821</v>
      </c>
      <c r="J49" s="1591">
        <v>461</v>
      </c>
      <c r="K49" s="1591">
        <v>462</v>
      </c>
      <c r="L49" s="1591">
        <v>391</v>
      </c>
      <c r="M49" s="1591">
        <v>1217</v>
      </c>
      <c r="N49" s="1591">
        <v>209</v>
      </c>
      <c r="O49" s="1591">
        <v>0</v>
      </c>
      <c r="P49" s="1591">
        <v>0</v>
      </c>
      <c r="Q49" s="1592">
        <f>SUM(C49:P49)</f>
        <v>23300</v>
      </c>
    </row>
    <row r="50" spans="1:17">
      <c r="A50" s="1591" t="s">
        <v>979</v>
      </c>
      <c r="B50" s="1591" t="s">
        <v>958</v>
      </c>
      <c r="C50" s="1591">
        <v>2141</v>
      </c>
      <c r="D50" s="1591">
        <v>9207</v>
      </c>
      <c r="E50" s="1591">
        <v>5283</v>
      </c>
      <c r="F50" s="1591">
        <v>2899</v>
      </c>
      <c r="G50" s="1591">
        <v>2139</v>
      </c>
      <c r="H50" s="1591">
        <v>1313</v>
      </c>
      <c r="I50" s="1591">
        <v>1296</v>
      </c>
      <c r="J50" s="1591">
        <v>634</v>
      </c>
      <c r="K50" s="1591">
        <v>859</v>
      </c>
      <c r="L50" s="1591">
        <v>433</v>
      </c>
      <c r="M50" s="1591">
        <v>3060</v>
      </c>
      <c r="N50" s="1591">
        <v>1689</v>
      </c>
      <c r="O50" s="1591">
        <v>282</v>
      </c>
      <c r="P50" s="1591">
        <v>0</v>
      </c>
      <c r="Q50" s="1592">
        <f>SUM(C50:P50)</f>
        <v>31235</v>
      </c>
    </row>
    <row r="51" spans="1:17">
      <c r="A51" s="1591" t="s">
        <v>980</v>
      </c>
      <c r="B51" s="1591" t="s">
        <v>958</v>
      </c>
      <c r="C51" s="1591">
        <v>2437</v>
      </c>
      <c r="D51" s="1591">
        <v>9406</v>
      </c>
      <c r="E51" s="1591">
        <v>4442</v>
      </c>
      <c r="F51" s="1591">
        <v>2198</v>
      </c>
      <c r="G51" s="1591">
        <v>1714</v>
      </c>
      <c r="H51" s="1591">
        <v>1475</v>
      </c>
      <c r="I51" s="1591">
        <v>784</v>
      </c>
      <c r="J51" s="1591">
        <v>993</v>
      </c>
      <c r="K51" s="1591">
        <v>295</v>
      </c>
      <c r="L51" s="1591">
        <v>579</v>
      </c>
      <c r="M51" s="1591">
        <v>2237</v>
      </c>
      <c r="N51" s="1591">
        <v>745</v>
      </c>
      <c r="O51" s="1591">
        <v>906</v>
      </c>
      <c r="P51" s="1591">
        <v>1850</v>
      </c>
      <c r="Q51" s="1592">
        <f>SUM(C51:P51)</f>
        <v>30061</v>
      </c>
    </row>
    <row r="52" spans="1:17">
      <c r="A52" s="1591" t="s">
        <v>981</v>
      </c>
      <c r="B52" s="1591" t="s">
        <v>958</v>
      </c>
      <c r="C52" s="1591">
        <v>2081</v>
      </c>
      <c r="D52" s="1591">
        <v>8974</v>
      </c>
      <c r="E52" s="1591">
        <v>4866</v>
      </c>
      <c r="F52" s="1591">
        <v>2846</v>
      </c>
      <c r="G52" s="1591">
        <v>1956</v>
      </c>
      <c r="H52" s="1591">
        <v>1336</v>
      </c>
      <c r="I52" s="1591">
        <v>1213</v>
      </c>
      <c r="J52" s="1591">
        <v>1408</v>
      </c>
      <c r="K52" s="1591">
        <v>941</v>
      </c>
      <c r="L52" s="1591">
        <v>679</v>
      </c>
      <c r="M52" s="1591">
        <v>2488</v>
      </c>
      <c r="N52" s="1591">
        <v>1972</v>
      </c>
      <c r="O52" s="1591">
        <v>666</v>
      </c>
      <c r="P52" s="1591">
        <v>506</v>
      </c>
      <c r="Q52" s="1592">
        <f t="shared" ref="Q52:Q59" si="4">SUM(C52:P52)</f>
        <v>31932</v>
      </c>
    </row>
    <row r="53" spans="1:17">
      <c r="A53" s="1591" t="s">
        <v>982</v>
      </c>
      <c r="B53" s="1591" t="s">
        <v>958</v>
      </c>
      <c r="C53" s="1591">
        <v>1664</v>
      </c>
      <c r="D53" s="1591">
        <v>8772</v>
      </c>
      <c r="E53" s="1591">
        <v>6102</v>
      </c>
      <c r="F53" s="1591">
        <v>3275</v>
      </c>
      <c r="G53" s="1591">
        <v>2443</v>
      </c>
      <c r="H53" s="1591">
        <v>1542</v>
      </c>
      <c r="I53" s="1591">
        <v>1258</v>
      </c>
      <c r="J53" s="1591">
        <v>1114</v>
      </c>
      <c r="K53" s="1591">
        <v>606</v>
      </c>
      <c r="L53" s="1591">
        <v>532</v>
      </c>
      <c r="M53" s="1591">
        <v>3315</v>
      </c>
      <c r="N53" s="1591">
        <v>506</v>
      </c>
      <c r="O53" s="1591">
        <v>745</v>
      </c>
      <c r="P53" s="1591">
        <v>0</v>
      </c>
      <c r="Q53" s="1592">
        <f t="shared" si="4"/>
        <v>31874</v>
      </c>
    </row>
    <row r="54" spans="1:17">
      <c r="A54" s="1591" t="s">
        <v>983</v>
      </c>
      <c r="B54" s="1591" t="s">
        <v>958</v>
      </c>
      <c r="C54" s="1591">
        <v>2889</v>
      </c>
      <c r="D54" s="1591">
        <v>7554</v>
      </c>
      <c r="E54" s="1591">
        <v>3544</v>
      </c>
      <c r="F54" s="1591">
        <v>2036</v>
      </c>
      <c r="G54" s="1591">
        <v>1477</v>
      </c>
      <c r="H54" s="1591">
        <v>726</v>
      </c>
      <c r="I54" s="1591">
        <v>594</v>
      </c>
      <c r="J54" s="1591">
        <v>536</v>
      </c>
      <c r="K54" s="1591">
        <v>470</v>
      </c>
      <c r="L54" s="1591">
        <v>337</v>
      </c>
      <c r="M54" s="1591">
        <v>1488</v>
      </c>
      <c r="N54" s="1591">
        <v>647</v>
      </c>
      <c r="O54" s="1591">
        <v>819</v>
      </c>
      <c r="P54" s="1591">
        <v>0</v>
      </c>
      <c r="Q54" s="1592">
        <f t="shared" si="4"/>
        <v>23117</v>
      </c>
    </row>
    <row r="55" spans="1:17">
      <c r="A55" s="1591" t="s">
        <v>984</v>
      </c>
      <c r="B55" s="1591" t="s">
        <v>958</v>
      </c>
      <c r="C55" s="1591">
        <v>2851</v>
      </c>
      <c r="D55" s="1591">
        <v>7594</v>
      </c>
      <c r="E55" s="1591">
        <v>4166</v>
      </c>
      <c r="F55" s="1591">
        <v>2040</v>
      </c>
      <c r="G55" s="1591">
        <v>1529</v>
      </c>
      <c r="H55" s="1591">
        <v>994</v>
      </c>
      <c r="I55" s="1591">
        <v>362</v>
      </c>
      <c r="J55" s="1591">
        <v>408</v>
      </c>
      <c r="K55" s="1591">
        <v>508</v>
      </c>
      <c r="L55" s="1591">
        <v>335</v>
      </c>
      <c r="M55" s="1591">
        <v>1307</v>
      </c>
      <c r="N55" s="1591">
        <v>527</v>
      </c>
      <c r="O55" s="1591">
        <v>981</v>
      </c>
      <c r="P55" s="1591">
        <v>0</v>
      </c>
      <c r="Q55" s="1592">
        <f t="shared" si="4"/>
        <v>23602</v>
      </c>
    </row>
    <row r="56" spans="1:17">
      <c r="A56" s="1591" t="s">
        <v>985</v>
      </c>
      <c r="B56" s="1591" t="s">
        <v>958</v>
      </c>
      <c r="C56" s="1591">
        <v>2611</v>
      </c>
      <c r="D56" s="1591">
        <v>7635</v>
      </c>
      <c r="E56" s="1591">
        <v>4447</v>
      </c>
      <c r="F56" s="1591">
        <v>2296</v>
      </c>
      <c r="G56" s="1591">
        <v>1579</v>
      </c>
      <c r="H56" s="1591">
        <v>940</v>
      </c>
      <c r="I56" s="1591">
        <v>902</v>
      </c>
      <c r="J56" s="1591">
        <v>532</v>
      </c>
      <c r="K56" s="1591">
        <v>388</v>
      </c>
      <c r="L56" s="1591">
        <v>631</v>
      </c>
      <c r="M56" s="1591">
        <v>1827</v>
      </c>
      <c r="N56" s="1591">
        <v>1136</v>
      </c>
      <c r="O56" s="1591">
        <v>466</v>
      </c>
      <c r="P56" s="1591">
        <v>472</v>
      </c>
      <c r="Q56" s="1592">
        <f t="shared" si="4"/>
        <v>25862</v>
      </c>
    </row>
    <row r="57" spans="1:17">
      <c r="A57" s="1591" t="s">
        <v>986</v>
      </c>
      <c r="B57" s="1591" t="s">
        <v>958</v>
      </c>
      <c r="C57" s="1591">
        <v>2022</v>
      </c>
      <c r="D57" s="1591">
        <v>7277</v>
      </c>
      <c r="E57" s="1591">
        <v>5616</v>
      </c>
      <c r="F57" s="1591">
        <v>2976</v>
      </c>
      <c r="G57" s="1591">
        <v>2342</v>
      </c>
      <c r="H57" s="1591">
        <v>1505</v>
      </c>
      <c r="I57" s="1591">
        <v>1180</v>
      </c>
      <c r="J57" s="1591">
        <v>835</v>
      </c>
      <c r="K57" s="1591">
        <v>472</v>
      </c>
      <c r="L57" s="1591">
        <v>667</v>
      </c>
      <c r="M57" s="1591">
        <v>2602</v>
      </c>
      <c r="N57" s="1591">
        <v>1412</v>
      </c>
      <c r="O57" s="1591">
        <v>793</v>
      </c>
      <c r="P57" s="1591">
        <v>678</v>
      </c>
      <c r="Q57" s="1592">
        <f t="shared" si="4"/>
        <v>30377</v>
      </c>
    </row>
    <row r="58" spans="1:17">
      <c r="A58" s="1591" t="s">
        <v>987</v>
      </c>
      <c r="B58" s="1591" t="s">
        <v>958</v>
      </c>
      <c r="C58" s="1591">
        <v>2283</v>
      </c>
      <c r="D58" s="1591">
        <v>7957</v>
      </c>
      <c r="E58" s="1591">
        <v>4422</v>
      </c>
      <c r="F58" s="1591">
        <v>2323</v>
      </c>
      <c r="G58" s="1591">
        <v>1769</v>
      </c>
      <c r="H58" s="1591">
        <v>816</v>
      </c>
      <c r="I58" s="1591">
        <v>561</v>
      </c>
      <c r="J58" s="1591">
        <v>835</v>
      </c>
      <c r="K58" s="1591">
        <v>474</v>
      </c>
      <c r="L58" s="1591">
        <v>146</v>
      </c>
      <c r="M58" s="1591">
        <v>1968</v>
      </c>
      <c r="N58" s="1591">
        <v>1309</v>
      </c>
      <c r="O58" s="1591">
        <v>298</v>
      </c>
      <c r="P58" s="1591">
        <v>0</v>
      </c>
      <c r="Q58" s="1592">
        <f t="shared" si="4"/>
        <v>25161</v>
      </c>
    </row>
    <row r="59" spans="1:17">
      <c r="A59" s="1591" t="s">
        <v>988</v>
      </c>
      <c r="B59" s="1591" t="s">
        <v>958</v>
      </c>
      <c r="C59" s="1591">
        <v>2169</v>
      </c>
      <c r="D59" s="1591">
        <v>8053</v>
      </c>
      <c r="E59" s="1591">
        <v>4643</v>
      </c>
      <c r="F59" s="1591">
        <v>2438</v>
      </c>
      <c r="G59" s="1591">
        <v>1616</v>
      </c>
      <c r="H59" s="1591">
        <v>921</v>
      </c>
      <c r="I59" s="1591">
        <v>955</v>
      </c>
      <c r="J59" s="1591">
        <v>456</v>
      </c>
      <c r="K59" s="1591">
        <v>601</v>
      </c>
      <c r="L59" s="1591">
        <v>388</v>
      </c>
      <c r="M59" s="1591">
        <v>2227</v>
      </c>
      <c r="N59" s="1591">
        <v>801</v>
      </c>
      <c r="O59" s="1591">
        <v>515</v>
      </c>
      <c r="P59" s="1591">
        <v>740</v>
      </c>
      <c r="Q59" s="1592">
        <f t="shared" si="4"/>
        <v>26523</v>
      </c>
    </row>
    <row r="60" spans="1:17" s="1592" customFormat="1">
      <c r="B60" s="1591" t="s">
        <v>958</v>
      </c>
      <c r="C60" s="1592">
        <f>SUM(C48:C59)</f>
        <v>28574</v>
      </c>
      <c r="D60" s="1592">
        <f t="shared" ref="D60:O60" si="5">SUM(D48:D59)</f>
        <v>100292</v>
      </c>
      <c r="E60" s="1592">
        <f t="shared" si="5"/>
        <v>56238</v>
      </c>
      <c r="F60" s="1592">
        <f t="shared" si="5"/>
        <v>29748</v>
      </c>
      <c r="G60" s="1592">
        <f t="shared" si="5"/>
        <v>20960</v>
      </c>
      <c r="H60" s="1592">
        <f t="shared" si="5"/>
        <v>14074</v>
      </c>
      <c r="I60" s="1592">
        <f t="shared" si="5"/>
        <v>10517</v>
      </c>
      <c r="J60" s="1592">
        <f t="shared" si="5"/>
        <v>8823</v>
      </c>
      <c r="K60" s="1592">
        <f t="shared" si="5"/>
        <v>6643</v>
      </c>
      <c r="L60" s="1592">
        <f t="shared" si="5"/>
        <v>5838</v>
      </c>
      <c r="M60" s="1592">
        <f t="shared" si="5"/>
        <v>25773</v>
      </c>
      <c r="N60" s="1592">
        <f t="shared" si="5"/>
        <v>12014</v>
      </c>
      <c r="O60" s="1592">
        <f t="shared" si="5"/>
        <v>6679</v>
      </c>
      <c r="P60" s="1592">
        <f>SUM(P48:P59)</f>
        <v>4246</v>
      </c>
      <c r="Q60" s="1592">
        <f>SUM(Q48:Q59)</f>
        <v>330419</v>
      </c>
    </row>
    <row r="62" spans="1:17">
      <c r="A62" s="1592" t="s">
        <v>990</v>
      </c>
      <c r="Q62" s="1592" t="s">
        <v>22</v>
      </c>
    </row>
    <row r="63" spans="1:17">
      <c r="A63" s="1591" t="s">
        <v>977</v>
      </c>
      <c r="B63" s="1591" t="s">
        <v>958</v>
      </c>
      <c r="C63" s="1591">
        <v>1052</v>
      </c>
      <c r="D63" s="1591">
        <v>2506</v>
      </c>
      <c r="E63" s="1591">
        <v>1456</v>
      </c>
      <c r="F63" s="1591">
        <v>650</v>
      </c>
      <c r="G63" s="1591">
        <v>294</v>
      </c>
      <c r="H63" s="1591">
        <v>224</v>
      </c>
      <c r="I63" s="1591">
        <v>98</v>
      </c>
      <c r="J63" s="1591">
        <v>77</v>
      </c>
      <c r="K63" s="1591">
        <v>131</v>
      </c>
      <c r="L63" s="1591">
        <v>49</v>
      </c>
      <c r="M63" s="1591">
        <v>300</v>
      </c>
      <c r="N63" s="1591">
        <v>116</v>
      </c>
      <c r="O63" s="1591">
        <v>0</v>
      </c>
      <c r="P63" s="1591">
        <v>0</v>
      </c>
      <c r="Q63" s="1592">
        <f>SUM(C63:P63)</f>
        <v>6953</v>
      </c>
    </row>
    <row r="64" spans="1:17">
      <c r="A64" s="1591" t="s">
        <v>978</v>
      </c>
      <c r="B64" s="1591" t="s">
        <v>958</v>
      </c>
      <c r="C64" s="1591">
        <v>1088</v>
      </c>
      <c r="D64" s="1591">
        <v>2005</v>
      </c>
      <c r="E64" s="1591">
        <v>1424</v>
      </c>
      <c r="F64" s="1591">
        <v>359</v>
      </c>
      <c r="G64" s="1591">
        <v>358</v>
      </c>
      <c r="H64" s="1591">
        <v>189</v>
      </c>
      <c r="I64" s="1591">
        <v>33</v>
      </c>
      <c r="J64" s="1591">
        <v>72</v>
      </c>
      <c r="K64" s="1591">
        <v>86</v>
      </c>
      <c r="L64" s="1591">
        <v>97</v>
      </c>
      <c r="M64" s="1591">
        <v>294</v>
      </c>
      <c r="N64" s="1591">
        <v>123</v>
      </c>
      <c r="O64" s="1591">
        <v>0</v>
      </c>
      <c r="P64" s="1591">
        <v>0</v>
      </c>
      <c r="Q64" s="1592">
        <f>SUM(C64:P64)</f>
        <v>6128</v>
      </c>
    </row>
    <row r="65" spans="1:17">
      <c r="A65" s="1591" t="s">
        <v>979</v>
      </c>
      <c r="B65" s="1591" t="s">
        <v>958</v>
      </c>
      <c r="C65" s="1591">
        <v>1100</v>
      </c>
      <c r="D65" s="1591">
        <v>2422</v>
      </c>
      <c r="E65" s="1591">
        <v>1743</v>
      </c>
      <c r="F65" s="1591">
        <v>424</v>
      </c>
      <c r="G65" s="1591">
        <v>268</v>
      </c>
      <c r="H65" s="1591">
        <v>282</v>
      </c>
      <c r="I65" s="1591">
        <v>162</v>
      </c>
      <c r="J65" s="1591">
        <v>115</v>
      </c>
      <c r="K65" s="1591">
        <v>86</v>
      </c>
      <c r="L65" s="1591">
        <v>93</v>
      </c>
      <c r="M65" s="1591">
        <v>407</v>
      </c>
      <c r="N65" s="1591">
        <v>104</v>
      </c>
      <c r="O65" s="1591">
        <v>0</v>
      </c>
      <c r="P65" s="1591">
        <v>0</v>
      </c>
      <c r="Q65" s="1592">
        <f>SUM(C65:P65)</f>
        <v>7206</v>
      </c>
    </row>
    <row r="66" spans="1:17">
      <c r="A66" s="1591" t="s">
        <v>980</v>
      </c>
      <c r="B66" s="1591" t="s">
        <v>958</v>
      </c>
      <c r="C66" s="1591">
        <v>1060</v>
      </c>
      <c r="D66" s="1591">
        <v>2610</v>
      </c>
      <c r="E66" s="1591">
        <v>2179</v>
      </c>
      <c r="F66" s="1591">
        <v>800</v>
      </c>
      <c r="G66" s="1591">
        <v>455</v>
      </c>
      <c r="H66" s="1591">
        <v>253</v>
      </c>
      <c r="I66" s="1591">
        <v>129</v>
      </c>
      <c r="J66" s="1591">
        <v>38</v>
      </c>
      <c r="K66" s="1591">
        <v>133</v>
      </c>
      <c r="L66" s="1591">
        <v>144</v>
      </c>
      <c r="M66" s="1591">
        <v>639</v>
      </c>
      <c r="N66" s="1591">
        <v>0</v>
      </c>
      <c r="O66" s="1591">
        <v>0</v>
      </c>
      <c r="P66" s="1591">
        <v>0</v>
      </c>
      <c r="Q66" s="1592">
        <f>SUM(C66:P66)</f>
        <v>8440</v>
      </c>
    </row>
    <row r="67" spans="1:17">
      <c r="A67" s="1591" t="s">
        <v>981</v>
      </c>
      <c r="B67" s="1591" t="s">
        <v>958</v>
      </c>
      <c r="C67" s="1591">
        <v>1053</v>
      </c>
      <c r="D67" s="1591">
        <v>2661</v>
      </c>
      <c r="E67" s="1591">
        <v>1779</v>
      </c>
      <c r="F67" s="1591">
        <v>821</v>
      </c>
      <c r="G67" s="1591">
        <v>492</v>
      </c>
      <c r="H67" s="1591">
        <v>277</v>
      </c>
      <c r="I67" s="1591">
        <v>136</v>
      </c>
      <c r="J67" s="1591">
        <v>151</v>
      </c>
      <c r="K67" s="1591">
        <v>211</v>
      </c>
      <c r="L67" s="1591">
        <v>289</v>
      </c>
      <c r="M67" s="1591">
        <v>678</v>
      </c>
      <c r="N67" s="1591">
        <v>453</v>
      </c>
      <c r="O67" s="1591">
        <v>0</v>
      </c>
      <c r="P67" s="1591">
        <v>0</v>
      </c>
      <c r="Q67" s="1592">
        <f t="shared" ref="Q67:Q74" si="6">SUM(C67:P67)</f>
        <v>9001</v>
      </c>
    </row>
    <row r="68" spans="1:17">
      <c r="A68" s="1591" t="s">
        <v>982</v>
      </c>
      <c r="B68" s="1591" t="s">
        <v>958</v>
      </c>
      <c r="C68" s="1591">
        <v>961</v>
      </c>
      <c r="D68" s="1591">
        <v>2711</v>
      </c>
      <c r="E68" s="1591">
        <v>1617</v>
      </c>
      <c r="F68" s="1591">
        <v>759</v>
      </c>
      <c r="G68" s="1591">
        <v>406</v>
      </c>
      <c r="H68" s="1591">
        <v>361</v>
      </c>
      <c r="I68" s="1591">
        <v>227</v>
      </c>
      <c r="J68" s="1591">
        <v>271</v>
      </c>
      <c r="K68" s="1591">
        <v>41</v>
      </c>
      <c r="L68" s="1591">
        <v>100</v>
      </c>
      <c r="M68" s="1591">
        <v>957</v>
      </c>
      <c r="N68" s="1591">
        <v>105</v>
      </c>
      <c r="O68" s="1591">
        <v>0</v>
      </c>
      <c r="P68" s="1591">
        <v>312</v>
      </c>
      <c r="Q68" s="1592">
        <f t="shared" si="6"/>
        <v>8828</v>
      </c>
    </row>
    <row r="69" spans="1:17">
      <c r="A69" s="1591" t="s">
        <v>983</v>
      </c>
      <c r="B69" s="1591" t="s">
        <v>958</v>
      </c>
      <c r="C69" s="1591">
        <v>1084</v>
      </c>
      <c r="D69" s="1591">
        <v>2791</v>
      </c>
      <c r="E69" s="1591">
        <v>1555</v>
      </c>
      <c r="F69" s="1591">
        <v>688</v>
      </c>
      <c r="G69" s="1591">
        <v>336</v>
      </c>
      <c r="H69" s="1591">
        <v>242</v>
      </c>
      <c r="I69" s="1591">
        <v>258</v>
      </c>
      <c r="J69" s="1591">
        <v>188</v>
      </c>
      <c r="K69" s="1591">
        <v>86</v>
      </c>
      <c r="L69" s="1591">
        <v>49</v>
      </c>
      <c r="M69" s="1591">
        <v>726</v>
      </c>
      <c r="N69" s="1591">
        <v>101</v>
      </c>
      <c r="O69" s="1591">
        <v>0</v>
      </c>
      <c r="P69" s="1591">
        <v>0</v>
      </c>
      <c r="Q69" s="1592">
        <f t="shared" si="6"/>
        <v>8104</v>
      </c>
    </row>
    <row r="70" spans="1:17">
      <c r="A70" s="1591" t="s">
        <v>984</v>
      </c>
      <c r="B70" s="1591" t="s">
        <v>958</v>
      </c>
      <c r="C70" s="1591">
        <v>979</v>
      </c>
      <c r="D70" s="1591">
        <v>2599</v>
      </c>
      <c r="E70" s="1591">
        <v>1850</v>
      </c>
      <c r="F70" s="1591">
        <v>866</v>
      </c>
      <c r="G70" s="1591">
        <v>551</v>
      </c>
      <c r="H70" s="1591">
        <v>306</v>
      </c>
      <c r="I70" s="1591">
        <v>262</v>
      </c>
      <c r="J70" s="1591">
        <v>302</v>
      </c>
      <c r="K70" s="1591">
        <v>217</v>
      </c>
      <c r="L70" s="1591">
        <v>145</v>
      </c>
      <c r="M70" s="1591">
        <v>344</v>
      </c>
      <c r="N70" s="1591">
        <v>150</v>
      </c>
      <c r="O70" s="1591">
        <v>0</v>
      </c>
      <c r="P70" s="1591">
        <v>0</v>
      </c>
      <c r="Q70" s="1592">
        <f t="shared" si="6"/>
        <v>8571</v>
      </c>
    </row>
    <row r="71" spans="1:17">
      <c r="A71" s="1591" t="s">
        <v>985</v>
      </c>
      <c r="B71" s="1591" t="s">
        <v>958</v>
      </c>
      <c r="C71" s="1591">
        <v>1088</v>
      </c>
      <c r="D71" s="1591">
        <v>2819</v>
      </c>
      <c r="E71" s="1591">
        <v>1311</v>
      </c>
      <c r="F71" s="1591">
        <v>921</v>
      </c>
      <c r="G71" s="1591">
        <v>338</v>
      </c>
      <c r="H71" s="1591">
        <v>252</v>
      </c>
      <c r="I71" s="1591">
        <v>168</v>
      </c>
      <c r="J71" s="1591">
        <v>190</v>
      </c>
      <c r="K71" s="1591">
        <v>129</v>
      </c>
      <c r="L71" s="1591">
        <v>93</v>
      </c>
      <c r="M71" s="1591">
        <v>303</v>
      </c>
      <c r="N71" s="1591">
        <v>0</v>
      </c>
      <c r="O71" s="1591">
        <v>0</v>
      </c>
      <c r="P71" s="1591">
        <v>0</v>
      </c>
      <c r="Q71" s="1592">
        <f t="shared" si="6"/>
        <v>7612</v>
      </c>
    </row>
    <row r="72" spans="1:17">
      <c r="A72" s="1591" t="s">
        <v>986</v>
      </c>
      <c r="B72" s="1591" t="s">
        <v>958</v>
      </c>
      <c r="C72" s="1591">
        <v>1065</v>
      </c>
      <c r="D72" s="1591">
        <v>2617</v>
      </c>
      <c r="E72" s="1591">
        <v>1618</v>
      </c>
      <c r="F72" s="1591">
        <v>757</v>
      </c>
      <c r="G72" s="1591">
        <v>520</v>
      </c>
      <c r="H72" s="1591">
        <v>197</v>
      </c>
      <c r="I72" s="1591">
        <v>133</v>
      </c>
      <c r="J72" s="1591">
        <v>111</v>
      </c>
      <c r="K72" s="1591">
        <v>45</v>
      </c>
      <c r="L72" s="1591">
        <v>50</v>
      </c>
      <c r="M72" s="1591">
        <v>262</v>
      </c>
      <c r="N72" s="1591">
        <v>0</v>
      </c>
      <c r="O72" s="1591">
        <v>0</v>
      </c>
      <c r="P72" s="1591">
        <v>0</v>
      </c>
      <c r="Q72" s="1592">
        <f t="shared" si="6"/>
        <v>7375</v>
      </c>
    </row>
    <row r="73" spans="1:17">
      <c r="A73" s="1591" t="s">
        <v>987</v>
      </c>
      <c r="B73" s="1591" t="s">
        <v>958</v>
      </c>
      <c r="C73" s="1591">
        <v>1049</v>
      </c>
      <c r="D73" s="1591">
        <v>2759</v>
      </c>
      <c r="E73" s="1591">
        <v>1562</v>
      </c>
      <c r="F73" s="1591">
        <v>781</v>
      </c>
      <c r="G73" s="1591">
        <v>339</v>
      </c>
      <c r="H73" s="1591">
        <v>257</v>
      </c>
      <c r="I73" s="1591">
        <v>65</v>
      </c>
      <c r="J73" s="1591">
        <v>72</v>
      </c>
      <c r="K73" s="1591">
        <v>171</v>
      </c>
      <c r="L73" s="1591">
        <v>193</v>
      </c>
      <c r="M73" s="1591">
        <v>299</v>
      </c>
      <c r="N73" s="1591">
        <v>0</v>
      </c>
      <c r="O73" s="1591">
        <v>0</v>
      </c>
      <c r="P73" s="1591">
        <v>0</v>
      </c>
      <c r="Q73" s="1592">
        <f t="shared" si="6"/>
        <v>7547</v>
      </c>
    </row>
    <row r="74" spans="1:17">
      <c r="A74" s="1591" t="s">
        <v>988</v>
      </c>
      <c r="B74" s="1591" t="s">
        <v>958</v>
      </c>
      <c r="C74" s="1591">
        <v>1237</v>
      </c>
      <c r="D74" s="1591">
        <v>2271</v>
      </c>
      <c r="E74" s="1591">
        <v>1239</v>
      </c>
      <c r="F74" s="1591">
        <v>483</v>
      </c>
      <c r="G74" s="1591">
        <v>254</v>
      </c>
      <c r="H74" s="1591">
        <v>194</v>
      </c>
      <c r="I74" s="1591">
        <v>128</v>
      </c>
      <c r="J74" s="1591">
        <v>270</v>
      </c>
      <c r="K74" s="1591">
        <v>0</v>
      </c>
      <c r="L74" s="1591">
        <v>46</v>
      </c>
      <c r="M74" s="1591">
        <v>192</v>
      </c>
      <c r="N74" s="1591">
        <v>0</v>
      </c>
      <c r="O74" s="1591">
        <v>0</v>
      </c>
      <c r="P74" s="1591">
        <v>0</v>
      </c>
      <c r="Q74" s="1592">
        <f t="shared" si="6"/>
        <v>6314</v>
      </c>
    </row>
    <row r="75" spans="1:17" s="1592" customFormat="1">
      <c r="B75" s="1591" t="s">
        <v>958</v>
      </c>
      <c r="C75" s="1592">
        <f>SUM(C63:C74)</f>
        <v>12816</v>
      </c>
      <c r="D75" s="1592">
        <f t="shared" ref="D75:O75" si="7">SUM(D63:D74)</f>
        <v>30771</v>
      </c>
      <c r="E75" s="1592">
        <f t="shared" si="7"/>
        <v>19333</v>
      </c>
      <c r="F75" s="1592">
        <f t="shared" si="7"/>
        <v>8309</v>
      </c>
      <c r="G75" s="1592">
        <f t="shared" si="7"/>
        <v>4611</v>
      </c>
      <c r="H75" s="1592">
        <f t="shared" si="7"/>
        <v>3034</v>
      </c>
      <c r="I75" s="1592">
        <f t="shared" si="7"/>
        <v>1799</v>
      </c>
      <c r="J75" s="1592">
        <f t="shared" si="7"/>
        <v>1857</v>
      </c>
      <c r="K75" s="1592">
        <f>SUM(K63:K74)</f>
        <v>1336</v>
      </c>
      <c r="L75" s="1592">
        <f t="shared" si="7"/>
        <v>1348</v>
      </c>
      <c r="M75" s="1592">
        <f t="shared" si="7"/>
        <v>5401</v>
      </c>
      <c r="N75" s="1592">
        <f t="shared" si="7"/>
        <v>1152</v>
      </c>
      <c r="O75" s="1592">
        <f t="shared" si="7"/>
        <v>0</v>
      </c>
      <c r="P75" s="1592">
        <f>SUM(P63:P74)</f>
        <v>312</v>
      </c>
      <c r="Q75" s="1592">
        <f>SUM(Q63:Q74)</f>
        <v>92079</v>
      </c>
    </row>
    <row r="77" spans="1:17">
      <c r="A77" s="1592" t="s">
        <v>991</v>
      </c>
    </row>
    <row r="78" spans="1:17">
      <c r="A78" s="1591" t="s">
        <v>977</v>
      </c>
      <c r="B78" s="1591" t="s">
        <v>958</v>
      </c>
      <c r="C78" s="1591">
        <v>1802</v>
      </c>
      <c r="D78" s="1591">
        <v>6954</v>
      </c>
      <c r="E78" s="1591">
        <v>3990</v>
      </c>
      <c r="F78" s="1591">
        <v>1774</v>
      </c>
      <c r="G78" s="1591">
        <v>1123</v>
      </c>
      <c r="H78" s="1591">
        <v>731</v>
      </c>
      <c r="I78" s="1591">
        <v>564</v>
      </c>
      <c r="J78" s="1591">
        <v>223</v>
      </c>
      <c r="K78" s="1591">
        <v>342</v>
      </c>
      <c r="L78" s="1591">
        <v>187</v>
      </c>
      <c r="M78" s="1591">
        <v>1345</v>
      </c>
      <c r="N78" s="1591">
        <v>597</v>
      </c>
      <c r="O78" s="1591">
        <v>0</v>
      </c>
      <c r="P78" s="1591">
        <v>891</v>
      </c>
      <c r="Q78" s="1592">
        <f>SUM(C78:P78)</f>
        <v>20523</v>
      </c>
    </row>
    <row r="79" spans="1:17">
      <c r="A79" s="1591" t="s">
        <v>978</v>
      </c>
      <c r="B79" s="1591" t="s">
        <v>958</v>
      </c>
      <c r="C79" s="1591">
        <v>2330</v>
      </c>
      <c r="D79" s="1591">
        <v>6581</v>
      </c>
      <c r="E79" s="1591">
        <v>2720</v>
      </c>
      <c r="F79" s="1591">
        <v>801</v>
      </c>
      <c r="G79" s="1591">
        <v>223</v>
      </c>
      <c r="H79" s="1591">
        <v>198</v>
      </c>
      <c r="I79" s="1591">
        <v>101</v>
      </c>
      <c r="J79" s="1591">
        <v>79</v>
      </c>
      <c r="K79" s="1591">
        <v>128</v>
      </c>
      <c r="L79" s="1591">
        <v>93</v>
      </c>
      <c r="M79" s="1591">
        <v>695</v>
      </c>
      <c r="N79" s="1591">
        <v>0</v>
      </c>
      <c r="O79" s="1591">
        <v>0</v>
      </c>
      <c r="P79" s="1591">
        <v>0</v>
      </c>
      <c r="Q79" s="1592">
        <f>SUM(C79:P79)</f>
        <v>13949</v>
      </c>
    </row>
    <row r="80" spans="1:17">
      <c r="A80" s="1591" t="s">
        <v>979</v>
      </c>
      <c r="B80" s="1591" t="s">
        <v>958</v>
      </c>
      <c r="C80" s="1591">
        <v>1811</v>
      </c>
      <c r="D80" s="1591">
        <v>7128</v>
      </c>
      <c r="E80" s="1591">
        <v>3826</v>
      </c>
      <c r="F80" s="1591">
        <v>1513</v>
      </c>
      <c r="G80" s="1591">
        <v>875</v>
      </c>
      <c r="H80" s="1591">
        <v>845</v>
      </c>
      <c r="I80" s="1591">
        <v>459</v>
      </c>
      <c r="J80" s="1591">
        <v>305</v>
      </c>
      <c r="K80" s="1591">
        <v>255</v>
      </c>
      <c r="L80" s="1591">
        <v>188</v>
      </c>
      <c r="M80" s="1591">
        <v>1107</v>
      </c>
      <c r="N80" s="1591">
        <v>809</v>
      </c>
      <c r="O80" s="1591">
        <v>0</v>
      </c>
      <c r="P80" s="1591">
        <v>0</v>
      </c>
      <c r="Q80" s="1592">
        <f>SUM(C80:P80)</f>
        <v>19121</v>
      </c>
    </row>
    <row r="81" spans="1:18">
      <c r="A81" s="1591" t="s">
        <v>980</v>
      </c>
      <c r="B81" s="1591" t="s">
        <v>958</v>
      </c>
      <c r="C81" s="1591">
        <v>2002</v>
      </c>
      <c r="D81" s="1591">
        <v>6869</v>
      </c>
      <c r="E81" s="1591">
        <v>3763</v>
      </c>
      <c r="F81" s="1591">
        <v>1295</v>
      </c>
      <c r="G81" s="1591">
        <v>541</v>
      </c>
      <c r="H81" s="1591">
        <v>420</v>
      </c>
      <c r="I81" s="1591">
        <v>489</v>
      </c>
      <c r="J81" s="1591">
        <v>264</v>
      </c>
      <c r="K81" s="1591">
        <v>429</v>
      </c>
      <c r="L81" s="1591">
        <v>148</v>
      </c>
      <c r="M81" s="1591">
        <v>1688</v>
      </c>
      <c r="N81" s="1591">
        <v>399</v>
      </c>
      <c r="O81" s="1591">
        <v>559</v>
      </c>
      <c r="P81" s="1591">
        <v>0</v>
      </c>
      <c r="Q81" s="1592">
        <f>SUM(C81:P81)</f>
        <v>18866</v>
      </c>
    </row>
    <row r="82" spans="1:18">
      <c r="A82" s="1591" t="s">
        <v>981</v>
      </c>
      <c r="B82" s="1591" t="s">
        <v>958</v>
      </c>
      <c r="C82" s="1591">
        <v>1686</v>
      </c>
      <c r="D82" s="1591">
        <v>7227</v>
      </c>
      <c r="E82" s="1591">
        <v>3706</v>
      </c>
      <c r="F82" s="1591">
        <v>1592</v>
      </c>
      <c r="G82" s="1591">
        <v>1092</v>
      </c>
      <c r="H82" s="1591">
        <v>575</v>
      </c>
      <c r="I82" s="1591">
        <v>657</v>
      </c>
      <c r="J82" s="1591">
        <v>307</v>
      </c>
      <c r="K82" s="1591">
        <v>390</v>
      </c>
      <c r="L82" s="1591">
        <v>295</v>
      </c>
      <c r="M82" s="1591">
        <v>1839</v>
      </c>
      <c r="N82" s="1591">
        <v>786</v>
      </c>
      <c r="O82" s="1591">
        <v>748</v>
      </c>
      <c r="P82" s="1591">
        <v>0</v>
      </c>
      <c r="Q82" s="1592">
        <f t="shared" ref="Q82:Q89" si="8">SUM(C82:P82)</f>
        <v>20900</v>
      </c>
    </row>
    <row r="83" spans="1:18">
      <c r="A83" s="1591" t="s">
        <v>982</v>
      </c>
      <c r="B83" s="1591" t="s">
        <v>958</v>
      </c>
      <c r="C83" s="1591">
        <v>1364</v>
      </c>
      <c r="D83" s="1591">
        <v>6667</v>
      </c>
      <c r="E83" s="1591">
        <v>4545</v>
      </c>
      <c r="F83" s="1591">
        <v>2092</v>
      </c>
      <c r="G83" s="1591">
        <v>1258</v>
      </c>
      <c r="H83" s="1591">
        <v>1040</v>
      </c>
      <c r="I83" s="1591">
        <v>695</v>
      </c>
      <c r="J83" s="1591">
        <v>795</v>
      </c>
      <c r="K83" s="1591">
        <v>465</v>
      </c>
      <c r="L83" s="1591">
        <v>426</v>
      </c>
      <c r="M83" s="1591">
        <v>2348</v>
      </c>
      <c r="N83" s="1591">
        <v>1683</v>
      </c>
      <c r="O83" s="1591">
        <v>0</v>
      </c>
      <c r="P83" s="1591">
        <v>2825</v>
      </c>
      <c r="Q83" s="1592">
        <f t="shared" si="8"/>
        <v>26203</v>
      </c>
    </row>
    <row r="84" spans="1:18">
      <c r="A84" s="1591" t="s">
        <v>983</v>
      </c>
      <c r="B84" s="1591" t="s">
        <v>958</v>
      </c>
      <c r="C84" s="1591">
        <v>2233</v>
      </c>
      <c r="D84" s="1591">
        <v>4817</v>
      </c>
      <c r="E84" s="1591">
        <v>2600</v>
      </c>
      <c r="F84" s="1591">
        <v>879</v>
      </c>
      <c r="G84" s="1591">
        <v>606</v>
      </c>
      <c r="H84" s="1591">
        <v>442</v>
      </c>
      <c r="I84" s="1591">
        <v>132</v>
      </c>
      <c r="J84" s="1591">
        <v>114</v>
      </c>
      <c r="K84" s="1591">
        <v>41</v>
      </c>
      <c r="L84" s="1591">
        <v>98</v>
      </c>
      <c r="M84" s="1591">
        <v>546</v>
      </c>
      <c r="N84" s="1591">
        <v>136</v>
      </c>
      <c r="O84" s="1591">
        <v>0</v>
      </c>
      <c r="P84" s="1591">
        <v>0</v>
      </c>
      <c r="Q84" s="1592">
        <f t="shared" si="8"/>
        <v>12644</v>
      </c>
    </row>
    <row r="85" spans="1:18">
      <c r="A85" s="1591" t="s">
        <v>984</v>
      </c>
      <c r="B85" s="1591" t="s">
        <v>958</v>
      </c>
      <c r="C85" s="1591">
        <v>1913</v>
      </c>
      <c r="D85" s="1591">
        <v>5235</v>
      </c>
      <c r="E85" s="1591">
        <v>3532</v>
      </c>
      <c r="F85" s="1591">
        <v>1224</v>
      </c>
      <c r="G85" s="1591">
        <v>895</v>
      </c>
      <c r="H85" s="1591">
        <v>616</v>
      </c>
      <c r="I85" s="1591">
        <v>455</v>
      </c>
      <c r="J85" s="1591">
        <v>268</v>
      </c>
      <c r="K85" s="1591">
        <v>215</v>
      </c>
      <c r="L85" s="1591">
        <v>330</v>
      </c>
      <c r="M85" s="1591">
        <v>1158</v>
      </c>
      <c r="N85" s="1591">
        <v>117</v>
      </c>
      <c r="O85" s="1591">
        <v>0</v>
      </c>
      <c r="P85" s="1591">
        <v>735</v>
      </c>
      <c r="Q85" s="1592">
        <f t="shared" si="8"/>
        <v>16693</v>
      </c>
    </row>
    <row r="86" spans="1:18">
      <c r="A86" s="1591" t="s">
        <v>985</v>
      </c>
      <c r="B86" s="1591" t="s">
        <v>958</v>
      </c>
      <c r="C86" s="1591">
        <v>1541</v>
      </c>
      <c r="D86" s="1591">
        <v>5394</v>
      </c>
      <c r="E86" s="1591">
        <v>3419</v>
      </c>
      <c r="F86" s="1591">
        <v>1539</v>
      </c>
      <c r="G86" s="1591">
        <v>894</v>
      </c>
      <c r="H86" s="1591">
        <v>605</v>
      </c>
      <c r="I86" s="1591">
        <v>753</v>
      </c>
      <c r="J86" s="1591">
        <v>300</v>
      </c>
      <c r="K86" s="1591">
        <v>383</v>
      </c>
      <c r="L86" s="1591">
        <v>287</v>
      </c>
      <c r="M86" s="1591">
        <v>1317</v>
      </c>
      <c r="N86" s="1591">
        <v>250</v>
      </c>
      <c r="O86" s="1591">
        <v>0</v>
      </c>
      <c r="P86" s="1591">
        <v>1381</v>
      </c>
      <c r="Q86" s="1592">
        <f t="shared" si="8"/>
        <v>18063</v>
      </c>
    </row>
    <row r="87" spans="1:18">
      <c r="A87" s="1591" t="s">
        <v>986</v>
      </c>
      <c r="B87" s="1591" t="s">
        <v>958</v>
      </c>
      <c r="C87" s="1591">
        <v>1678</v>
      </c>
      <c r="D87" s="1591">
        <v>5068</v>
      </c>
      <c r="E87" s="1591">
        <v>2729</v>
      </c>
      <c r="F87" s="1591">
        <v>1384</v>
      </c>
      <c r="G87" s="1591">
        <v>759</v>
      </c>
      <c r="H87" s="1591">
        <v>277</v>
      </c>
      <c r="I87" s="1591">
        <v>228</v>
      </c>
      <c r="J87" s="1591">
        <v>190</v>
      </c>
      <c r="K87" s="1591">
        <v>255</v>
      </c>
      <c r="L87" s="1591">
        <v>48</v>
      </c>
      <c r="M87" s="1591">
        <v>715</v>
      </c>
      <c r="N87" s="1591">
        <v>759</v>
      </c>
      <c r="O87" s="1591">
        <v>262</v>
      </c>
      <c r="P87" s="1591">
        <v>0</v>
      </c>
      <c r="Q87" s="1592">
        <f t="shared" si="8"/>
        <v>14352</v>
      </c>
    </row>
    <row r="88" spans="1:18">
      <c r="A88" s="1591" t="s">
        <v>987</v>
      </c>
      <c r="B88" s="1591" t="s">
        <v>958</v>
      </c>
      <c r="C88" s="1591">
        <v>1653</v>
      </c>
      <c r="D88" s="1591">
        <v>5265</v>
      </c>
      <c r="E88" s="1591">
        <v>3420</v>
      </c>
      <c r="F88" s="1591">
        <v>1334</v>
      </c>
      <c r="G88" s="1591">
        <v>586</v>
      </c>
      <c r="H88" s="1591">
        <v>754</v>
      </c>
      <c r="I88" s="1591">
        <v>398</v>
      </c>
      <c r="J88" s="1591">
        <v>267</v>
      </c>
      <c r="K88" s="1591">
        <v>259</v>
      </c>
      <c r="L88" s="1591">
        <v>146</v>
      </c>
      <c r="M88" s="1591">
        <v>822</v>
      </c>
      <c r="N88" s="1591">
        <v>0</v>
      </c>
      <c r="O88" s="1591">
        <v>0</v>
      </c>
      <c r="P88" s="1591">
        <v>0</v>
      </c>
      <c r="Q88" s="1592">
        <f t="shared" si="8"/>
        <v>14904</v>
      </c>
    </row>
    <row r="89" spans="1:18">
      <c r="A89" s="1591" t="s">
        <v>988</v>
      </c>
      <c r="B89" s="1591" t="s">
        <v>958</v>
      </c>
      <c r="C89" s="1591">
        <v>1869</v>
      </c>
      <c r="D89" s="1591">
        <v>5296</v>
      </c>
      <c r="E89" s="1591">
        <v>3087</v>
      </c>
      <c r="F89" s="1591">
        <v>1127</v>
      </c>
      <c r="G89" s="1591">
        <v>558</v>
      </c>
      <c r="H89" s="1591">
        <v>365</v>
      </c>
      <c r="I89" s="1591">
        <v>205</v>
      </c>
      <c r="J89" s="1591">
        <v>191</v>
      </c>
      <c r="K89" s="1591">
        <v>302</v>
      </c>
      <c r="L89" s="1591">
        <v>288</v>
      </c>
      <c r="M89" s="1591">
        <v>388</v>
      </c>
      <c r="N89" s="1591">
        <v>242</v>
      </c>
      <c r="O89" s="1591">
        <v>246</v>
      </c>
      <c r="P89" s="1591">
        <v>0</v>
      </c>
      <c r="Q89" s="1592">
        <f t="shared" si="8"/>
        <v>14164</v>
      </c>
    </row>
    <row r="90" spans="1:18">
      <c r="A90" s="1592"/>
      <c r="B90" s="1591" t="s">
        <v>958</v>
      </c>
      <c r="C90" s="1592">
        <f t="shared" ref="C90:O90" si="9">SUM(C78:C89)</f>
        <v>21882</v>
      </c>
      <c r="D90" s="1592">
        <f t="shared" si="9"/>
        <v>72501</v>
      </c>
      <c r="E90" s="1592">
        <f t="shared" si="9"/>
        <v>41337</v>
      </c>
      <c r="F90" s="1592">
        <f t="shared" si="9"/>
        <v>16554</v>
      </c>
      <c r="G90" s="1592">
        <f t="shared" si="9"/>
        <v>9410</v>
      </c>
      <c r="H90" s="1592">
        <f t="shared" si="9"/>
        <v>6868</v>
      </c>
      <c r="I90" s="1592">
        <f t="shared" si="9"/>
        <v>5136</v>
      </c>
      <c r="J90" s="1592">
        <f t="shared" si="9"/>
        <v>3303</v>
      </c>
      <c r="K90" s="1592">
        <f t="shared" si="9"/>
        <v>3464</v>
      </c>
      <c r="L90" s="1592">
        <f t="shared" si="9"/>
        <v>2534</v>
      </c>
      <c r="M90" s="1592">
        <f t="shared" si="9"/>
        <v>13968</v>
      </c>
      <c r="N90" s="1592">
        <f t="shared" si="9"/>
        <v>5778</v>
      </c>
      <c r="O90" s="1592">
        <f t="shared" si="9"/>
        <v>1815</v>
      </c>
      <c r="P90" s="1592">
        <f>SUM(P78:P89)</f>
        <v>5832</v>
      </c>
      <c r="Q90" s="1592">
        <f>SUM(Q78:Q89)</f>
        <v>210382</v>
      </c>
      <c r="R90" s="1592"/>
    </row>
    <row r="91" spans="1:18" ht="15.75" thickBot="1">
      <c r="A91" s="1787"/>
      <c r="B91" s="1788"/>
      <c r="C91" s="1787">
        <f>C45+C60+C75+C90</f>
        <v>191990</v>
      </c>
      <c r="D91" s="1787">
        <f t="shared" ref="D91:P91" si="10">D45+D60+D75+D90</f>
        <v>692128</v>
      </c>
      <c r="E91" s="1787">
        <f t="shared" si="10"/>
        <v>356903</v>
      </c>
      <c r="F91" s="1787">
        <f t="shared" si="10"/>
        <v>184235</v>
      </c>
      <c r="G91" s="1787">
        <f t="shared" si="10"/>
        <v>120953</v>
      </c>
      <c r="H91" s="1787">
        <f t="shared" si="10"/>
        <v>84006</v>
      </c>
      <c r="I91" s="1787">
        <f t="shared" si="10"/>
        <v>55307</v>
      </c>
      <c r="J91" s="1787">
        <f t="shared" si="10"/>
        <v>47611</v>
      </c>
      <c r="K91" s="1787">
        <f t="shared" si="10"/>
        <v>36692</v>
      </c>
      <c r="L91" s="1787">
        <f t="shared" si="10"/>
        <v>31059</v>
      </c>
      <c r="M91" s="1787">
        <f t="shared" si="10"/>
        <v>130516</v>
      </c>
      <c r="N91" s="1787">
        <f t="shared" si="10"/>
        <v>59160</v>
      </c>
      <c r="O91" s="1787">
        <f t="shared" si="10"/>
        <v>23891</v>
      </c>
      <c r="P91" s="1787">
        <f t="shared" si="10"/>
        <v>21986</v>
      </c>
      <c r="Q91" s="1787"/>
      <c r="R91" s="1592"/>
    </row>
    <row r="92" spans="1:18" s="1595" customFormat="1" ht="15.75" thickTop="1">
      <c r="A92" s="1594" t="s">
        <v>992</v>
      </c>
      <c r="Q92" s="1594"/>
    </row>
    <row r="93" spans="1:18">
      <c r="A93" s="1592" t="s">
        <v>976</v>
      </c>
    </row>
    <row r="94" spans="1:18">
      <c r="A94" s="1591" t="s">
        <v>977</v>
      </c>
      <c r="B94" s="1591" t="s">
        <v>958</v>
      </c>
      <c r="C94" s="1591">
        <v>51</v>
      </c>
      <c r="D94" s="1591">
        <v>220</v>
      </c>
      <c r="E94" s="1591">
        <v>135</v>
      </c>
      <c r="F94" s="1591">
        <v>105</v>
      </c>
      <c r="G94" s="1591">
        <v>226</v>
      </c>
      <c r="H94" s="1591">
        <v>86</v>
      </c>
      <c r="I94" s="1591">
        <v>31</v>
      </c>
      <c r="J94" s="1591">
        <v>38</v>
      </c>
      <c r="K94" s="1591">
        <v>128</v>
      </c>
      <c r="L94" s="1591">
        <v>47</v>
      </c>
      <c r="M94" s="1591">
        <v>882</v>
      </c>
      <c r="N94" s="1591">
        <v>435</v>
      </c>
      <c r="O94" s="1591">
        <v>1188</v>
      </c>
      <c r="P94" s="1591">
        <v>360</v>
      </c>
      <c r="Q94" s="1592">
        <v>3932</v>
      </c>
    </row>
    <row r="95" spans="1:18">
      <c r="A95" s="1591" t="s">
        <v>978</v>
      </c>
      <c r="B95" s="1591" t="s">
        <v>958</v>
      </c>
      <c r="C95" s="1591">
        <v>75</v>
      </c>
      <c r="D95" s="1591">
        <v>223</v>
      </c>
      <c r="E95" s="1591">
        <v>164</v>
      </c>
      <c r="F95" s="1591">
        <v>70</v>
      </c>
      <c r="G95" s="1591">
        <v>140</v>
      </c>
      <c r="H95" s="1591">
        <v>52</v>
      </c>
      <c r="I95" s="1591">
        <v>65</v>
      </c>
      <c r="J95" s="1591">
        <v>154</v>
      </c>
      <c r="K95" s="1591">
        <v>42</v>
      </c>
      <c r="L95" s="1591">
        <v>143</v>
      </c>
      <c r="M95" s="1591">
        <v>684</v>
      </c>
      <c r="N95" s="1591">
        <v>586</v>
      </c>
      <c r="O95" s="1591">
        <v>436</v>
      </c>
      <c r="P95" s="1591">
        <v>1575</v>
      </c>
      <c r="Q95" s="1592">
        <f>SUM(C95:P95)</f>
        <v>4409</v>
      </c>
    </row>
    <row r="96" spans="1:18">
      <c r="A96" s="1591" t="s">
        <v>979</v>
      </c>
      <c r="B96" s="1591" t="s">
        <v>958</v>
      </c>
      <c r="C96" s="1591">
        <v>51</v>
      </c>
      <c r="D96" s="1591">
        <v>255</v>
      </c>
      <c r="E96" s="1591">
        <v>102</v>
      </c>
      <c r="F96" s="1591">
        <v>34</v>
      </c>
      <c r="G96" s="1591">
        <v>116</v>
      </c>
      <c r="H96" s="1591">
        <v>140</v>
      </c>
      <c r="I96" s="1591">
        <v>94</v>
      </c>
      <c r="J96" s="1591">
        <v>116</v>
      </c>
      <c r="K96" s="1591">
        <v>167</v>
      </c>
      <c r="L96" s="1591">
        <v>46</v>
      </c>
      <c r="M96" s="1591">
        <v>666</v>
      </c>
      <c r="N96" s="1591">
        <v>948</v>
      </c>
      <c r="O96" s="1591">
        <v>868</v>
      </c>
      <c r="P96" s="1591">
        <v>819</v>
      </c>
      <c r="Q96" s="1592">
        <f>SUM(C96:P96)</f>
        <v>4422</v>
      </c>
    </row>
    <row r="97" spans="1:17">
      <c r="A97" s="1591" t="s">
        <v>980</v>
      </c>
      <c r="B97" s="1591" t="s">
        <v>958</v>
      </c>
      <c r="C97" s="1591">
        <v>58</v>
      </c>
      <c r="D97" s="1591">
        <v>234</v>
      </c>
      <c r="E97" s="1591">
        <v>112</v>
      </c>
      <c r="F97" s="1591">
        <v>54</v>
      </c>
      <c r="G97" s="1591">
        <v>141</v>
      </c>
      <c r="H97" s="1591">
        <v>144</v>
      </c>
      <c r="I97" s="1591">
        <v>0</v>
      </c>
      <c r="J97" s="1591">
        <v>194</v>
      </c>
      <c r="K97" s="1591">
        <v>216</v>
      </c>
      <c r="L97" s="1591">
        <v>95</v>
      </c>
      <c r="M97" s="1591">
        <v>367</v>
      </c>
      <c r="N97" s="1591">
        <v>859</v>
      </c>
      <c r="O97" s="1591">
        <v>740</v>
      </c>
      <c r="P97" s="1591">
        <v>879</v>
      </c>
      <c r="Q97" s="1592">
        <f>SUM(C97:P97)</f>
        <v>4093</v>
      </c>
    </row>
    <row r="98" spans="1:17">
      <c r="A98" s="1591" t="s">
        <v>981</v>
      </c>
      <c r="B98" s="1591" t="s">
        <v>958</v>
      </c>
      <c r="C98" s="1591">
        <v>31</v>
      </c>
      <c r="D98" s="1591">
        <v>222</v>
      </c>
      <c r="E98" s="1591">
        <v>168</v>
      </c>
      <c r="F98" s="1591">
        <v>79</v>
      </c>
      <c r="G98" s="1591">
        <v>25</v>
      </c>
      <c r="H98" s="1591">
        <v>56</v>
      </c>
      <c r="I98" s="1591">
        <v>68</v>
      </c>
      <c r="J98" s="1591">
        <v>266</v>
      </c>
      <c r="K98" s="1591">
        <v>85</v>
      </c>
      <c r="L98" s="1591">
        <v>97</v>
      </c>
      <c r="M98" s="1591">
        <v>1054</v>
      </c>
      <c r="N98" s="1591">
        <v>1158</v>
      </c>
      <c r="O98" s="1591">
        <v>719</v>
      </c>
      <c r="P98" s="1591">
        <v>611</v>
      </c>
      <c r="Q98" s="1592">
        <f t="shared" ref="Q98:Q105" si="11">SUM(C98:P98)</f>
        <v>4639</v>
      </c>
    </row>
    <row r="99" spans="1:17">
      <c r="A99" s="1591" t="s">
        <v>982</v>
      </c>
      <c r="B99" s="1591" t="s">
        <v>958</v>
      </c>
      <c r="C99" s="1591">
        <v>27</v>
      </c>
      <c r="D99" s="1591">
        <v>224</v>
      </c>
      <c r="E99" s="1591">
        <v>125</v>
      </c>
      <c r="F99" s="1591">
        <v>69</v>
      </c>
      <c r="G99" s="1591">
        <v>68</v>
      </c>
      <c r="H99" s="1591">
        <v>56</v>
      </c>
      <c r="I99" s="1591">
        <v>101</v>
      </c>
      <c r="J99" s="1591">
        <v>38</v>
      </c>
      <c r="K99" s="1591">
        <v>133</v>
      </c>
      <c r="L99" s="1591">
        <v>144</v>
      </c>
      <c r="M99" s="1591">
        <v>876</v>
      </c>
      <c r="N99" s="1591">
        <v>916</v>
      </c>
      <c r="O99" s="1591">
        <v>1012</v>
      </c>
      <c r="P99" s="1591">
        <v>2173</v>
      </c>
      <c r="Q99" s="1592">
        <f t="shared" si="11"/>
        <v>5962</v>
      </c>
    </row>
    <row r="100" spans="1:17">
      <c r="A100" s="1591" t="s">
        <v>983</v>
      </c>
      <c r="B100" s="1591" t="s">
        <v>958</v>
      </c>
      <c r="C100" s="1591">
        <v>62</v>
      </c>
      <c r="D100" s="1591">
        <v>190</v>
      </c>
      <c r="E100" s="1591">
        <v>116</v>
      </c>
      <c r="F100" s="1591">
        <v>56</v>
      </c>
      <c r="G100" s="1591">
        <v>184</v>
      </c>
      <c r="H100" s="1591">
        <v>170</v>
      </c>
      <c r="I100" s="1591">
        <v>99</v>
      </c>
      <c r="J100" s="1591">
        <v>40</v>
      </c>
      <c r="K100" s="1591">
        <v>169</v>
      </c>
      <c r="L100" s="1591">
        <v>0</v>
      </c>
      <c r="M100" s="1591">
        <v>445</v>
      </c>
      <c r="N100" s="1591">
        <v>1386</v>
      </c>
      <c r="O100" s="1591">
        <v>470</v>
      </c>
      <c r="P100" s="1591">
        <v>1620</v>
      </c>
      <c r="Q100" s="1592">
        <f t="shared" si="11"/>
        <v>5007</v>
      </c>
    </row>
    <row r="101" spans="1:17">
      <c r="A101" s="1591" t="s">
        <v>984</v>
      </c>
      <c r="B101" s="1591" t="s">
        <v>958</v>
      </c>
      <c r="C101" s="1591">
        <v>59</v>
      </c>
      <c r="D101" s="1591">
        <v>161</v>
      </c>
      <c r="E101" s="1591">
        <v>182</v>
      </c>
      <c r="F101" s="1591">
        <v>20</v>
      </c>
      <c r="G101" s="1591">
        <v>139</v>
      </c>
      <c r="H101" s="1591">
        <v>112</v>
      </c>
      <c r="I101" s="1591">
        <v>34</v>
      </c>
      <c r="J101" s="1591">
        <v>150</v>
      </c>
      <c r="K101" s="1591">
        <v>83</v>
      </c>
      <c r="L101" s="1591">
        <v>46</v>
      </c>
      <c r="M101" s="1591">
        <v>869</v>
      </c>
      <c r="N101" s="1591">
        <v>755</v>
      </c>
      <c r="O101" s="1591">
        <v>685</v>
      </c>
      <c r="P101" s="1591">
        <v>1666</v>
      </c>
      <c r="Q101" s="1592">
        <f t="shared" si="11"/>
        <v>4961</v>
      </c>
    </row>
    <row r="102" spans="1:17">
      <c r="A102" s="1591" t="s">
        <v>985</v>
      </c>
      <c r="B102" s="1591" t="s">
        <v>958</v>
      </c>
      <c r="C102" s="1591">
        <v>80</v>
      </c>
      <c r="D102" s="1591">
        <v>118</v>
      </c>
      <c r="E102" s="1591">
        <v>83</v>
      </c>
      <c r="F102" s="1591">
        <v>71</v>
      </c>
      <c r="G102" s="1591">
        <v>212</v>
      </c>
      <c r="H102" s="1591">
        <v>174</v>
      </c>
      <c r="I102" s="1591">
        <v>66</v>
      </c>
      <c r="J102" s="1591">
        <v>112</v>
      </c>
      <c r="K102" s="1591">
        <v>41</v>
      </c>
      <c r="L102" s="1591">
        <v>144</v>
      </c>
      <c r="M102" s="1591">
        <v>370</v>
      </c>
      <c r="N102" s="1591">
        <v>1383</v>
      </c>
      <c r="O102" s="1591">
        <v>484</v>
      </c>
      <c r="P102" s="1591">
        <v>1085</v>
      </c>
      <c r="Q102" s="1592">
        <f t="shared" si="11"/>
        <v>4423</v>
      </c>
    </row>
    <row r="103" spans="1:17">
      <c r="A103" s="1591" t="s">
        <v>986</v>
      </c>
      <c r="B103" s="1591" t="s">
        <v>958</v>
      </c>
      <c r="C103" s="1591">
        <v>60</v>
      </c>
      <c r="D103" s="1591">
        <v>188</v>
      </c>
      <c r="E103" s="1591">
        <v>64</v>
      </c>
      <c r="F103" s="1591">
        <v>143</v>
      </c>
      <c r="G103" s="1591">
        <v>93</v>
      </c>
      <c r="H103" s="1591">
        <v>143</v>
      </c>
      <c r="I103" s="1591">
        <v>161</v>
      </c>
      <c r="J103" s="1591">
        <v>114</v>
      </c>
      <c r="K103" s="1591">
        <v>43</v>
      </c>
      <c r="L103" s="1591">
        <v>96</v>
      </c>
      <c r="M103" s="1591">
        <v>600</v>
      </c>
      <c r="N103" s="1591">
        <v>890</v>
      </c>
      <c r="O103" s="1591">
        <v>881</v>
      </c>
      <c r="P103" s="1591">
        <v>2221</v>
      </c>
      <c r="Q103" s="1592">
        <f t="shared" si="11"/>
        <v>5697</v>
      </c>
    </row>
    <row r="104" spans="1:17">
      <c r="A104" s="1591" t="s">
        <v>987</v>
      </c>
      <c r="B104" s="1591" t="s">
        <v>958</v>
      </c>
      <c r="C104" s="1591">
        <v>55</v>
      </c>
      <c r="D104" s="1591">
        <v>160</v>
      </c>
      <c r="E104" s="1591">
        <v>140</v>
      </c>
      <c r="F104" s="1591">
        <v>37</v>
      </c>
      <c r="G104" s="1591">
        <v>159</v>
      </c>
      <c r="H104" s="1591">
        <v>177</v>
      </c>
      <c r="I104" s="1591">
        <v>68</v>
      </c>
      <c r="J104" s="1591">
        <v>0</v>
      </c>
      <c r="K104" s="1591">
        <v>210</v>
      </c>
      <c r="L104" s="1591">
        <v>98</v>
      </c>
      <c r="M104" s="1591">
        <v>863</v>
      </c>
      <c r="N104" s="1591">
        <v>758</v>
      </c>
      <c r="O104" s="1591">
        <v>439</v>
      </c>
      <c r="P104" s="1591">
        <v>1542</v>
      </c>
      <c r="Q104" s="1592">
        <f t="shared" si="11"/>
        <v>4706</v>
      </c>
    </row>
    <row r="105" spans="1:17">
      <c r="A105" s="1591" t="s">
        <v>988</v>
      </c>
      <c r="B105" s="1591" t="s">
        <v>958</v>
      </c>
      <c r="C105" s="1591">
        <v>53</v>
      </c>
      <c r="D105" s="1591">
        <v>153</v>
      </c>
      <c r="E105" s="1591">
        <v>208</v>
      </c>
      <c r="F105" s="1591">
        <v>73</v>
      </c>
      <c r="G105" s="1591">
        <v>66</v>
      </c>
      <c r="H105" s="1591">
        <v>27</v>
      </c>
      <c r="I105" s="1591">
        <v>130</v>
      </c>
      <c r="J105" s="1591">
        <v>228</v>
      </c>
      <c r="K105" s="1591">
        <v>43</v>
      </c>
      <c r="L105" s="1591">
        <v>189</v>
      </c>
      <c r="M105" s="1591">
        <v>588</v>
      </c>
      <c r="N105" s="1591">
        <v>982</v>
      </c>
      <c r="O105" s="1591">
        <v>205</v>
      </c>
      <c r="P105" s="1591">
        <v>1103</v>
      </c>
      <c r="Q105" s="1592">
        <f t="shared" si="11"/>
        <v>4048</v>
      </c>
    </row>
    <row r="106" spans="1:17" s="1592" customFormat="1">
      <c r="B106" s="1591" t="s">
        <v>958</v>
      </c>
      <c r="C106" s="1592">
        <f>SUM(C94:C105)</f>
        <v>662</v>
      </c>
      <c r="D106" s="1592">
        <f t="shared" ref="D106:P106" si="12">SUM(D94:D105)</f>
        <v>2348</v>
      </c>
      <c r="E106" s="1592">
        <f t="shared" si="12"/>
        <v>1599</v>
      </c>
      <c r="F106" s="1592">
        <f t="shared" si="12"/>
        <v>811</v>
      </c>
      <c r="G106" s="1592">
        <f t="shared" si="12"/>
        <v>1569</v>
      </c>
      <c r="H106" s="1592">
        <f t="shared" si="12"/>
        <v>1337</v>
      </c>
      <c r="I106" s="1592">
        <f t="shared" si="12"/>
        <v>917</v>
      </c>
      <c r="J106" s="1592">
        <f t="shared" si="12"/>
        <v>1450</v>
      </c>
      <c r="K106" s="1592">
        <f t="shared" si="12"/>
        <v>1360</v>
      </c>
      <c r="L106" s="1592">
        <f t="shared" si="12"/>
        <v>1145</v>
      </c>
      <c r="M106" s="1592">
        <f t="shared" si="12"/>
        <v>8264</v>
      </c>
      <c r="N106" s="1592">
        <f t="shared" si="12"/>
        <v>11056</v>
      </c>
      <c r="O106" s="1592">
        <f t="shared" si="12"/>
        <v>8127</v>
      </c>
      <c r="P106" s="1592">
        <f t="shared" si="12"/>
        <v>15654</v>
      </c>
      <c r="Q106" s="1592">
        <f>SUM(Q94:Q105)</f>
        <v>56299</v>
      </c>
    </row>
    <row r="108" spans="1:17">
      <c r="A108" s="1592" t="s">
        <v>989</v>
      </c>
    </row>
    <row r="109" spans="1:17">
      <c r="A109" s="1591" t="s">
        <v>977</v>
      </c>
      <c r="B109" s="1591" t="s">
        <v>958</v>
      </c>
      <c r="C109" s="1591">
        <v>30</v>
      </c>
      <c r="D109" s="1591">
        <v>48</v>
      </c>
      <c r="E109" s="1591">
        <v>38</v>
      </c>
      <c r="F109" s="1591">
        <v>18</v>
      </c>
      <c r="G109" s="1591">
        <v>21</v>
      </c>
      <c r="H109" s="1591">
        <v>82</v>
      </c>
      <c r="I109" s="1591">
        <v>130</v>
      </c>
      <c r="J109" s="1591">
        <v>0</v>
      </c>
      <c r="K109" s="1591">
        <v>0</v>
      </c>
      <c r="L109" s="1591">
        <v>0</v>
      </c>
      <c r="M109" s="1591">
        <v>189</v>
      </c>
      <c r="N109" s="1591">
        <v>166</v>
      </c>
      <c r="O109" s="1591">
        <v>0</v>
      </c>
      <c r="P109" s="1591">
        <v>0</v>
      </c>
      <c r="Q109" s="1592">
        <f>SUM(C109:P109)</f>
        <v>722</v>
      </c>
    </row>
    <row r="110" spans="1:17">
      <c r="A110" s="1591" t="s">
        <v>978</v>
      </c>
      <c r="B110" s="1591" t="s">
        <v>958</v>
      </c>
      <c r="C110" s="1591">
        <v>17</v>
      </c>
      <c r="D110" s="1591">
        <v>71</v>
      </c>
      <c r="E110" s="1591">
        <v>26</v>
      </c>
      <c r="F110" s="1591">
        <v>0</v>
      </c>
      <c r="G110" s="1591">
        <v>135</v>
      </c>
      <c r="H110" s="1591">
        <v>28</v>
      </c>
      <c r="I110" s="1591">
        <v>34</v>
      </c>
      <c r="J110" s="1591">
        <v>0</v>
      </c>
      <c r="K110" s="1591">
        <v>0</v>
      </c>
      <c r="L110" s="1591">
        <v>146</v>
      </c>
      <c r="M110" s="1591">
        <v>180</v>
      </c>
      <c r="N110" s="1591">
        <v>0</v>
      </c>
      <c r="O110" s="1591">
        <v>0</v>
      </c>
      <c r="P110" s="1591">
        <v>0</v>
      </c>
      <c r="Q110" s="1592">
        <f>SUM(C110:P110)</f>
        <v>637</v>
      </c>
    </row>
    <row r="111" spans="1:17">
      <c r="A111" s="1591" t="s">
        <v>979</v>
      </c>
      <c r="B111" s="1591" t="s">
        <v>958</v>
      </c>
      <c r="C111" s="1591">
        <v>20</v>
      </c>
      <c r="D111" s="1591">
        <v>61</v>
      </c>
      <c r="E111" s="1591">
        <v>41</v>
      </c>
      <c r="F111" s="1591">
        <v>0</v>
      </c>
      <c r="G111" s="1591">
        <v>21</v>
      </c>
      <c r="H111" s="1591">
        <v>88</v>
      </c>
      <c r="I111" s="1591">
        <v>32</v>
      </c>
      <c r="J111" s="1591">
        <v>40</v>
      </c>
      <c r="K111" s="1591">
        <v>0</v>
      </c>
      <c r="L111" s="1591">
        <v>47</v>
      </c>
      <c r="M111" s="1591">
        <v>276</v>
      </c>
      <c r="N111" s="1591">
        <v>272</v>
      </c>
      <c r="O111" s="1591">
        <v>0</v>
      </c>
      <c r="P111" s="1591">
        <v>1663</v>
      </c>
      <c r="Q111" s="1592">
        <f>SUM(C111:P111)</f>
        <v>2561</v>
      </c>
    </row>
    <row r="112" spans="1:17">
      <c r="A112" s="1591" t="s">
        <v>980</v>
      </c>
      <c r="B112" s="1591" t="s">
        <v>958</v>
      </c>
      <c r="C112" s="1591">
        <v>12</v>
      </c>
      <c r="D112" s="1591">
        <v>76</v>
      </c>
      <c r="E112" s="1591">
        <v>34</v>
      </c>
      <c r="F112" s="1591">
        <v>54</v>
      </c>
      <c r="G112" s="1591">
        <v>65</v>
      </c>
      <c r="H112" s="1591">
        <v>78</v>
      </c>
      <c r="I112" s="1591">
        <v>34</v>
      </c>
      <c r="J112" s="1591">
        <v>0</v>
      </c>
      <c r="K112" s="1591">
        <v>86</v>
      </c>
      <c r="L112" s="1591">
        <v>0</v>
      </c>
      <c r="M112" s="1591">
        <v>169</v>
      </c>
      <c r="N112" s="1591">
        <v>0</v>
      </c>
      <c r="O112" s="1591">
        <v>0</v>
      </c>
      <c r="P112" s="1591">
        <v>0</v>
      </c>
      <c r="Q112" s="1592">
        <f>SUM(C112:P112)</f>
        <v>608</v>
      </c>
    </row>
    <row r="113" spans="1:17">
      <c r="A113" s="1591" t="s">
        <v>981</v>
      </c>
      <c r="B113" s="1591" t="s">
        <v>958</v>
      </c>
      <c r="C113" s="1591">
        <v>10</v>
      </c>
      <c r="D113" s="1591">
        <v>76</v>
      </c>
      <c r="E113" s="1591">
        <v>22</v>
      </c>
      <c r="F113" s="1591">
        <v>73</v>
      </c>
      <c r="G113" s="1591">
        <v>21</v>
      </c>
      <c r="H113" s="1591">
        <v>84</v>
      </c>
      <c r="I113" s="1591">
        <v>98</v>
      </c>
      <c r="J113" s="1591">
        <v>0</v>
      </c>
      <c r="K113" s="1591">
        <v>43</v>
      </c>
      <c r="L113" s="1591">
        <v>49</v>
      </c>
      <c r="M113" s="1591">
        <v>0</v>
      </c>
      <c r="N113" s="1591">
        <v>174</v>
      </c>
      <c r="O113" s="1591">
        <v>205</v>
      </c>
      <c r="P113" s="1591">
        <v>0</v>
      </c>
      <c r="Q113" s="1592">
        <f t="shared" ref="Q113:Q120" si="13">SUM(C113:P113)</f>
        <v>855</v>
      </c>
    </row>
    <row r="114" spans="1:17">
      <c r="A114" s="1591" t="s">
        <v>982</v>
      </c>
      <c r="B114" s="1591" t="s">
        <v>958</v>
      </c>
      <c r="C114" s="1591">
        <v>8</v>
      </c>
      <c r="D114" s="1591">
        <v>91</v>
      </c>
      <c r="E114" s="1591">
        <v>54</v>
      </c>
      <c r="F114" s="1591">
        <v>19</v>
      </c>
      <c r="G114" s="1591">
        <v>71</v>
      </c>
      <c r="H114" s="1591">
        <v>56</v>
      </c>
      <c r="I114" s="1591">
        <v>64</v>
      </c>
      <c r="J114" s="1591">
        <v>38</v>
      </c>
      <c r="K114" s="1591">
        <v>0</v>
      </c>
      <c r="L114" s="1591">
        <v>49</v>
      </c>
      <c r="M114" s="1591">
        <v>260</v>
      </c>
      <c r="N114" s="1591">
        <v>0</v>
      </c>
      <c r="O114" s="1591">
        <v>0</v>
      </c>
      <c r="P114" s="1591">
        <v>10347</v>
      </c>
      <c r="Q114" s="1592">
        <f t="shared" si="13"/>
        <v>11057</v>
      </c>
    </row>
    <row r="115" spans="1:17">
      <c r="A115" s="1591" t="s">
        <v>983</v>
      </c>
      <c r="B115" s="1591" t="s">
        <v>958</v>
      </c>
      <c r="C115" s="1591">
        <v>24</v>
      </c>
      <c r="D115" s="1591">
        <v>53</v>
      </c>
      <c r="E115" s="1591">
        <v>27</v>
      </c>
      <c r="F115" s="1591">
        <v>93</v>
      </c>
      <c r="G115" s="1591">
        <v>45</v>
      </c>
      <c r="H115" s="1591">
        <v>26</v>
      </c>
      <c r="I115" s="1591">
        <v>0</v>
      </c>
      <c r="J115" s="1591">
        <v>0</v>
      </c>
      <c r="K115" s="1591">
        <v>43</v>
      </c>
      <c r="L115" s="1591">
        <v>50</v>
      </c>
      <c r="M115" s="1591">
        <v>283</v>
      </c>
      <c r="N115" s="1591">
        <v>0</v>
      </c>
      <c r="O115" s="1591">
        <v>0</v>
      </c>
      <c r="P115" s="1591">
        <v>8960</v>
      </c>
      <c r="Q115" s="1592">
        <f t="shared" si="13"/>
        <v>9604</v>
      </c>
    </row>
    <row r="116" spans="1:17">
      <c r="A116" s="1591" t="s">
        <v>984</v>
      </c>
      <c r="B116" s="1591" t="s">
        <v>958</v>
      </c>
      <c r="C116" s="1591">
        <v>25</v>
      </c>
      <c r="D116" s="1591">
        <v>30</v>
      </c>
      <c r="E116" s="1591">
        <v>75</v>
      </c>
      <c r="F116" s="1591">
        <v>90</v>
      </c>
      <c r="G116" s="1591">
        <v>21</v>
      </c>
      <c r="H116" s="1591">
        <v>27</v>
      </c>
      <c r="I116" s="1591">
        <v>63</v>
      </c>
      <c r="J116" s="1591">
        <v>0</v>
      </c>
      <c r="K116" s="1591">
        <v>0</v>
      </c>
      <c r="L116" s="1591">
        <v>48</v>
      </c>
      <c r="M116" s="1591">
        <v>60</v>
      </c>
      <c r="N116" s="1591">
        <v>128</v>
      </c>
      <c r="O116" s="1591">
        <v>0</v>
      </c>
      <c r="P116" s="1591">
        <v>13263</v>
      </c>
      <c r="Q116" s="1592">
        <f t="shared" si="13"/>
        <v>13830</v>
      </c>
    </row>
    <row r="117" spans="1:17">
      <c r="A117" s="1591" t="s">
        <v>985</v>
      </c>
      <c r="B117" s="1591" t="s">
        <v>958</v>
      </c>
      <c r="C117" s="1591">
        <v>29</v>
      </c>
      <c r="D117" s="1591">
        <v>35</v>
      </c>
      <c r="E117" s="1591">
        <v>50</v>
      </c>
      <c r="F117" s="1591">
        <v>89</v>
      </c>
      <c r="G117" s="1591">
        <v>25</v>
      </c>
      <c r="H117" s="1591">
        <v>0</v>
      </c>
      <c r="I117" s="1591">
        <v>34</v>
      </c>
      <c r="J117" s="1591">
        <v>77</v>
      </c>
      <c r="K117" s="1591">
        <v>0</v>
      </c>
      <c r="L117" s="1591">
        <v>0</v>
      </c>
      <c r="M117" s="1591">
        <v>286</v>
      </c>
      <c r="N117" s="1591">
        <v>0</v>
      </c>
      <c r="O117" s="1591">
        <v>0</v>
      </c>
      <c r="P117" s="1591">
        <v>3820</v>
      </c>
      <c r="Q117" s="1592">
        <f t="shared" si="13"/>
        <v>4445</v>
      </c>
    </row>
    <row r="118" spans="1:17">
      <c r="A118" s="1591" t="s">
        <v>986</v>
      </c>
      <c r="B118" s="1591" t="s">
        <v>958</v>
      </c>
      <c r="C118" s="1591">
        <v>21</v>
      </c>
      <c r="D118" s="1591">
        <v>55</v>
      </c>
      <c r="E118" s="1591">
        <v>79</v>
      </c>
      <c r="F118" s="1591">
        <v>37</v>
      </c>
      <c r="G118" s="1591">
        <v>0</v>
      </c>
      <c r="H118" s="1591">
        <v>0</v>
      </c>
      <c r="I118" s="1591">
        <v>35</v>
      </c>
      <c r="J118" s="1591">
        <v>38</v>
      </c>
      <c r="K118" s="1591">
        <v>44</v>
      </c>
      <c r="L118" s="1591">
        <v>47</v>
      </c>
      <c r="M118" s="1591">
        <v>311</v>
      </c>
      <c r="N118" s="1591">
        <v>0</v>
      </c>
      <c r="O118" s="1591">
        <v>0</v>
      </c>
      <c r="P118" s="1591">
        <v>16853</v>
      </c>
      <c r="Q118" s="1592">
        <f t="shared" si="13"/>
        <v>17520</v>
      </c>
    </row>
    <row r="119" spans="1:17">
      <c r="A119" s="1591" t="s">
        <v>987</v>
      </c>
      <c r="B119" s="1591" t="s">
        <v>958</v>
      </c>
      <c r="C119" s="1591">
        <v>24</v>
      </c>
      <c r="D119" s="1591">
        <v>28</v>
      </c>
      <c r="E119" s="1591">
        <v>67</v>
      </c>
      <c r="F119" s="1591">
        <v>36</v>
      </c>
      <c r="G119" s="1591">
        <v>24</v>
      </c>
      <c r="H119" s="1591">
        <v>29</v>
      </c>
      <c r="I119" s="1591">
        <v>67</v>
      </c>
      <c r="J119" s="1591">
        <v>0</v>
      </c>
      <c r="K119" s="1591">
        <v>129</v>
      </c>
      <c r="L119" s="1591">
        <v>0</v>
      </c>
      <c r="M119" s="1591">
        <v>113</v>
      </c>
      <c r="N119" s="1591">
        <v>109</v>
      </c>
      <c r="O119" s="1591">
        <v>0</v>
      </c>
      <c r="P119" s="1591">
        <v>9785</v>
      </c>
      <c r="Q119" s="1592">
        <f t="shared" si="13"/>
        <v>10411</v>
      </c>
    </row>
    <row r="120" spans="1:17">
      <c r="A120" s="1591" t="s">
        <v>988</v>
      </c>
      <c r="B120" s="1591" t="s">
        <v>958</v>
      </c>
      <c r="C120" s="1591">
        <v>21</v>
      </c>
      <c r="D120" s="1591">
        <v>87</v>
      </c>
      <c r="E120" s="1591">
        <v>25</v>
      </c>
      <c r="F120" s="1591">
        <v>38</v>
      </c>
      <c r="G120" s="1591">
        <v>44</v>
      </c>
      <c r="H120" s="1591">
        <v>30</v>
      </c>
      <c r="I120" s="1591">
        <v>97</v>
      </c>
      <c r="J120" s="1591">
        <v>38</v>
      </c>
      <c r="K120" s="1591">
        <v>0</v>
      </c>
      <c r="L120" s="1591">
        <v>97</v>
      </c>
      <c r="M120" s="1591">
        <v>53</v>
      </c>
      <c r="N120" s="1591">
        <v>0</v>
      </c>
      <c r="O120" s="1591">
        <v>0</v>
      </c>
      <c r="P120" s="1591">
        <v>14492</v>
      </c>
      <c r="Q120" s="1592">
        <f t="shared" si="13"/>
        <v>15022</v>
      </c>
    </row>
    <row r="121" spans="1:17" s="1592" customFormat="1">
      <c r="B121" s="1591" t="s">
        <v>958</v>
      </c>
      <c r="C121" s="1592">
        <f>SUM(C109:C120)</f>
        <v>241</v>
      </c>
      <c r="D121" s="1592">
        <f t="shared" ref="D121:P121" si="14">SUM(D109:D120)</f>
        <v>711</v>
      </c>
      <c r="E121" s="1592">
        <f t="shared" si="14"/>
        <v>538</v>
      </c>
      <c r="F121" s="1592">
        <f t="shared" si="14"/>
        <v>547</v>
      </c>
      <c r="G121" s="1592">
        <f t="shared" si="14"/>
        <v>493</v>
      </c>
      <c r="H121" s="1592">
        <f t="shared" si="14"/>
        <v>528</v>
      </c>
      <c r="I121" s="1592">
        <f t="shared" si="14"/>
        <v>688</v>
      </c>
      <c r="J121" s="1592">
        <f t="shared" si="14"/>
        <v>231</v>
      </c>
      <c r="K121" s="1592">
        <f t="shared" si="14"/>
        <v>345</v>
      </c>
      <c r="L121" s="1592">
        <f t="shared" si="14"/>
        <v>533</v>
      </c>
      <c r="M121" s="1592">
        <f t="shared" si="14"/>
        <v>2180</v>
      </c>
      <c r="N121" s="1592">
        <f t="shared" si="14"/>
        <v>849</v>
      </c>
      <c r="O121" s="1592">
        <f t="shared" si="14"/>
        <v>205</v>
      </c>
      <c r="P121" s="1592">
        <f t="shared" si="14"/>
        <v>79183</v>
      </c>
      <c r="Q121" s="1592">
        <f>SUM(Q109:Q120)</f>
        <v>87272</v>
      </c>
    </row>
    <row r="123" spans="1:17">
      <c r="A123" s="1592" t="s">
        <v>993</v>
      </c>
    </row>
    <row r="124" spans="1:17">
      <c r="A124" s="1591" t="s">
        <v>977</v>
      </c>
      <c r="B124" s="1591" t="s">
        <v>958</v>
      </c>
      <c r="C124" s="1591">
        <v>8</v>
      </c>
      <c r="D124" s="1591">
        <v>0</v>
      </c>
      <c r="E124" s="1591">
        <v>15</v>
      </c>
      <c r="F124" s="1591">
        <v>0</v>
      </c>
      <c r="G124" s="1591">
        <v>0</v>
      </c>
      <c r="H124" s="1591">
        <v>30</v>
      </c>
      <c r="I124" s="1591">
        <v>0</v>
      </c>
      <c r="J124" s="1591">
        <v>0</v>
      </c>
      <c r="K124" s="1591">
        <v>0</v>
      </c>
      <c r="L124" s="1591">
        <v>0</v>
      </c>
      <c r="M124" s="1591">
        <v>0</v>
      </c>
      <c r="N124" s="1591">
        <v>0</v>
      </c>
      <c r="O124" s="1591">
        <v>0</v>
      </c>
      <c r="P124" s="1591">
        <v>0</v>
      </c>
      <c r="Q124" s="1592">
        <f>SUM(C124:P124)</f>
        <v>53</v>
      </c>
    </row>
    <row r="125" spans="1:17">
      <c r="A125" s="1591" t="s">
        <v>978</v>
      </c>
      <c r="B125" s="1591" t="s">
        <v>958</v>
      </c>
      <c r="C125" s="1591">
        <v>3</v>
      </c>
      <c r="D125" s="1591">
        <v>6</v>
      </c>
      <c r="E125" s="1591">
        <v>13</v>
      </c>
      <c r="F125" s="1591">
        <v>0</v>
      </c>
      <c r="G125" s="1591">
        <v>0</v>
      </c>
      <c r="H125" s="1591">
        <v>29</v>
      </c>
      <c r="I125" s="1591">
        <v>0</v>
      </c>
      <c r="J125" s="1591">
        <v>0</v>
      </c>
      <c r="K125" s="1591">
        <v>0</v>
      </c>
      <c r="L125" s="1591">
        <v>0</v>
      </c>
      <c r="M125" s="1591">
        <v>0</v>
      </c>
      <c r="N125" s="1591">
        <v>0</v>
      </c>
      <c r="O125" s="1591">
        <v>0</v>
      </c>
      <c r="P125" s="1591">
        <v>0</v>
      </c>
      <c r="Q125" s="1592">
        <f>SUM(C125:P125)</f>
        <v>51</v>
      </c>
    </row>
    <row r="126" spans="1:17">
      <c r="A126" s="1591" t="s">
        <v>979</v>
      </c>
      <c r="B126" s="1591" t="s">
        <v>958</v>
      </c>
      <c r="C126" s="1591">
        <v>0</v>
      </c>
      <c r="D126" s="1591">
        <v>13</v>
      </c>
      <c r="E126" s="1591">
        <v>0</v>
      </c>
      <c r="F126" s="1591">
        <v>0</v>
      </c>
      <c r="G126" s="1591">
        <v>25</v>
      </c>
      <c r="H126" s="1591">
        <v>0</v>
      </c>
      <c r="I126" s="1591">
        <v>32</v>
      </c>
      <c r="J126" s="1591">
        <v>0</v>
      </c>
      <c r="K126" s="1591">
        <v>0</v>
      </c>
      <c r="L126" s="1591">
        <v>0</v>
      </c>
      <c r="M126" s="1591">
        <v>0</v>
      </c>
      <c r="N126" s="1591">
        <v>0</v>
      </c>
      <c r="O126" s="1591">
        <v>0</v>
      </c>
      <c r="P126" s="1591">
        <v>0</v>
      </c>
      <c r="Q126" s="1592">
        <f>SUM(C126:P126)</f>
        <v>70</v>
      </c>
    </row>
    <row r="127" spans="1:17">
      <c r="A127" s="1591" t="s">
        <v>980</v>
      </c>
      <c r="B127" s="1591" t="s">
        <v>958</v>
      </c>
      <c r="C127" s="1591">
        <v>4</v>
      </c>
      <c r="D127" s="1591">
        <v>13</v>
      </c>
      <c r="E127" s="1591">
        <v>0</v>
      </c>
      <c r="F127" s="1591">
        <v>0</v>
      </c>
      <c r="G127" s="1591">
        <v>0</v>
      </c>
      <c r="H127" s="1591">
        <v>0</v>
      </c>
      <c r="I127" s="1591">
        <v>0</v>
      </c>
      <c r="J127" s="1591">
        <v>0</v>
      </c>
      <c r="K127" s="1591">
        <v>0</v>
      </c>
      <c r="L127" s="1591">
        <v>0</v>
      </c>
      <c r="M127" s="1591">
        <v>70</v>
      </c>
      <c r="N127" s="1591">
        <v>0</v>
      </c>
      <c r="O127" s="1591">
        <v>0</v>
      </c>
      <c r="P127" s="1591">
        <v>0</v>
      </c>
      <c r="Q127" s="1592">
        <f>SUM(C127:P127)</f>
        <v>87</v>
      </c>
    </row>
    <row r="128" spans="1:17">
      <c r="A128" s="1591" t="s">
        <v>981</v>
      </c>
      <c r="B128" s="1591" t="s">
        <v>958</v>
      </c>
      <c r="C128" s="1591">
        <v>0</v>
      </c>
      <c r="D128" s="1591">
        <v>23</v>
      </c>
      <c r="E128" s="1591">
        <v>0</v>
      </c>
      <c r="F128" s="1591">
        <v>16</v>
      </c>
      <c r="G128" s="1591">
        <v>0</v>
      </c>
      <c r="H128" s="1591">
        <v>0</v>
      </c>
      <c r="I128" s="1591">
        <v>0</v>
      </c>
      <c r="J128" s="1591">
        <v>0</v>
      </c>
      <c r="K128" s="1591">
        <v>0</v>
      </c>
      <c r="L128" s="1591">
        <v>0</v>
      </c>
      <c r="M128" s="1591">
        <v>0</v>
      </c>
      <c r="N128" s="1591">
        <v>0</v>
      </c>
      <c r="O128" s="1591">
        <v>0</v>
      </c>
      <c r="P128" s="1591">
        <v>0</v>
      </c>
      <c r="Q128" s="1592">
        <f t="shared" ref="Q128:Q135" si="15">SUM(C128:P128)</f>
        <v>39</v>
      </c>
    </row>
    <row r="129" spans="1:17">
      <c r="A129" s="1591" t="s">
        <v>982</v>
      </c>
      <c r="B129" s="1591" t="s">
        <v>958</v>
      </c>
      <c r="C129" s="1591">
        <v>4</v>
      </c>
      <c r="D129" s="1591">
        <v>13</v>
      </c>
      <c r="E129" s="1591">
        <v>11</v>
      </c>
      <c r="F129" s="1591">
        <v>0</v>
      </c>
      <c r="G129" s="1591">
        <v>0</v>
      </c>
      <c r="H129" s="1591">
        <v>0</v>
      </c>
      <c r="I129" s="1591">
        <v>0</v>
      </c>
      <c r="J129" s="1591">
        <v>0</v>
      </c>
      <c r="K129" s="1591">
        <v>0</v>
      </c>
      <c r="L129" s="1591">
        <v>0</v>
      </c>
      <c r="M129" s="1591">
        <v>0</v>
      </c>
      <c r="N129" s="1591">
        <v>0</v>
      </c>
      <c r="O129" s="1591">
        <v>0</v>
      </c>
      <c r="P129" s="1591">
        <v>0</v>
      </c>
      <c r="Q129" s="1592">
        <f t="shared" si="15"/>
        <v>28</v>
      </c>
    </row>
    <row r="130" spans="1:17">
      <c r="A130" s="1591" t="s">
        <v>983</v>
      </c>
      <c r="B130" s="1591" t="s">
        <v>958</v>
      </c>
      <c r="C130" s="1591">
        <v>0</v>
      </c>
      <c r="D130" s="1591">
        <v>24</v>
      </c>
      <c r="E130" s="1591">
        <v>15</v>
      </c>
      <c r="F130" s="1591">
        <v>0</v>
      </c>
      <c r="G130" s="1591">
        <v>0</v>
      </c>
      <c r="H130" s="1591">
        <v>0</v>
      </c>
      <c r="I130" s="1591">
        <v>0</v>
      </c>
      <c r="J130" s="1591">
        <v>0</v>
      </c>
      <c r="K130" s="1591">
        <v>0</v>
      </c>
      <c r="L130" s="1591">
        <v>0</v>
      </c>
      <c r="M130" s="1591">
        <v>0</v>
      </c>
      <c r="N130" s="1591">
        <v>0</v>
      </c>
      <c r="O130" s="1591">
        <v>0</v>
      </c>
      <c r="P130" s="1591">
        <v>0</v>
      </c>
      <c r="Q130" s="1592">
        <f t="shared" si="15"/>
        <v>39</v>
      </c>
    </row>
    <row r="131" spans="1:17">
      <c r="A131" s="1591" t="s">
        <v>984</v>
      </c>
      <c r="B131" s="1591" t="s">
        <v>958</v>
      </c>
      <c r="C131" s="1591">
        <v>0</v>
      </c>
      <c r="D131" s="1591">
        <v>5</v>
      </c>
      <c r="E131" s="1591">
        <v>18</v>
      </c>
      <c r="F131" s="1591">
        <v>0</v>
      </c>
      <c r="G131" s="1591">
        <v>0</v>
      </c>
      <c r="H131" s="1591">
        <v>0</v>
      </c>
      <c r="I131" s="1591">
        <v>0</v>
      </c>
      <c r="J131" s="1591">
        <v>0</v>
      </c>
      <c r="K131" s="1591">
        <v>41</v>
      </c>
      <c r="L131" s="1591">
        <v>0</v>
      </c>
      <c r="M131" s="1591">
        <v>0</v>
      </c>
      <c r="N131" s="1591">
        <v>0</v>
      </c>
      <c r="O131" s="1591">
        <v>0</v>
      </c>
      <c r="P131" s="1591">
        <v>0</v>
      </c>
      <c r="Q131" s="1592">
        <f t="shared" si="15"/>
        <v>64</v>
      </c>
    </row>
    <row r="132" spans="1:17">
      <c r="A132" s="1591" t="s">
        <v>985</v>
      </c>
      <c r="B132" s="1591" t="s">
        <v>958</v>
      </c>
      <c r="C132" s="1591">
        <v>0</v>
      </c>
      <c r="D132" s="1591">
        <v>6</v>
      </c>
      <c r="E132" s="1591">
        <v>12</v>
      </c>
      <c r="F132" s="1591">
        <v>0</v>
      </c>
      <c r="G132" s="1591">
        <v>0</v>
      </c>
      <c r="H132" s="1591">
        <v>27</v>
      </c>
      <c r="I132" s="1591">
        <v>0</v>
      </c>
      <c r="J132" s="1591">
        <v>0</v>
      </c>
      <c r="K132" s="1591">
        <v>43</v>
      </c>
      <c r="L132" s="1591">
        <v>0</v>
      </c>
      <c r="M132" s="1591">
        <v>0</v>
      </c>
      <c r="N132" s="1591">
        <v>0</v>
      </c>
      <c r="O132" s="1591">
        <v>0</v>
      </c>
      <c r="P132" s="1591">
        <v>0</v>
      </c>
      <c r="Q132" s="1592">
        <f t="shared" si="15"/>
        <v>88</v>
      </c>
    </row>
    <row r="133" spans="1:17">
      <c r="A133" s="1591" t="s">
        <v>986</v>
      </c>
      <c r="B133" s="1591" t="s">
        <v>958</v>
      </c>
      <c r="C133" s="1591">
        <v>0</v>
      </c>
      <c r="D133" s="1591">
        <v>9</v>
      </c>
      <c r="E133" s="1591">
        <v>12</v>
      </c>
      <c r="F133" s="1591">
        <v>0</v>
      </c>
      <c r="G133" s="1591">
        <v>0</v>
      </c>
      <c r="H133" s="1591">
        <v>0</v>
      </c>
      <c r="I133" s="1591">
        <v>0</v>
      </c>
      <c r="J133" s="1591">
        <v>0</v>
      </c>
      <c r="K133" s="1591">
        <v>0</v>
      </c>
      <c r="L133" s="1591">
        <v>0</v>
      </c>
      <c r="M133" s="1591">
        <v>77</v>
      </c>
      <c r="N133" s="1591">
        <v>0</v>
      </c>
      <c r="O133" s="1591">
        <v>0</v>
      </c>
      <c r="P133" s="1591">
        <v>0</v>
      </c>
      <c r="Q133" s="1592">
        <f t="shared" si="15"/>
        <v>98</v>
      </c>
    </row>
    <row r="134" spans="1:17">
      <c r="A134" s="1591" t="s">
        <v>987</v>
      </c>
      <c r="B134" s="1591" t="s">
        <v>958</v>
      </c>
      <c r="C134" s="1591">
        <v>0</v>
      </c>
      <c r="D134" s="1591">
        <v>10</v>
      </c>
      <c r="E134" s="1591">
        <v>12</v>
      </c>
      <c r="F134" s="1591">
        <v>0</v>
      </c>
      <c r="G134" s="1591">
        <v>0</v>
      </c>
      <c r="H134" s="1591">
        <v>0</v>
      </c>
      <c r="I134" s="1591">
        <v>0</v>
      </c>
      <c r="J134" s="1591">
        <v>0</v>
      </c>
      <c r="K134" s="1591">
        <v>0</v>
      </c>
      <c r="L134" s="1591">
        <v>50</v>
      </c>
      <c r="M134" s="1591">
        <v>0</v>
      </c>
      <c r="N134" s="1591">
        <v>0</v>
      </c>
      <c r="O134" s="1591">
        <v>0</v>
      </c>
      <c r="P134" s="1591">
        <v>0</v>
      </c>
      <c r="Q134" s="1592">
        <f t="shared" si="15"/>
        <v>72</v>
      </c>
    </row>
    <row r="135" spans="1:17">
      <c r="A135" s="1591" t="s">
        <v>988</v>
      </c>
      <c r="B135" s="1591" t="s">
        <v>958</v>
      </c>
      <c r="C135" s="1591">
        <v>1</v>
      </c>
      <c r="D135" s="1591">
        <v>0</v>
      </c>
      <c r="E135" s="1591">
        <v>0</v>
      </c>
      <c r="F135" s="1591">
        <v>0</v>
      </c>
      <c r="G135" s="1591">
        <v>0</v>
      </c>
      <c r="H135" s="1591">
        <v>0</v>
      </c>
      <c r="I135" s="1591">
        <v>35</v>
      </c>
      <c r="J135" s="1591">
        <v>0</v>
      </c>
      <c r="K135" s="1591">
        <v>0</v>
      </c>
      <c r="L135" s="1591">
        <v>0</v>
      </c>
      <c r="M135" s="1591">
        <v>0</v>
      </c>
      <c r="N135" s="1591">
        <v>0</v>
      </c>
      <c r="O135" s="1591">
        <v>0</v>
      </c>
      <c r="P135" s="1591">
        <v>0</v>
      </c>
      <c r="Q135" s="1592">
        <f t="shared" si="15"/>
        <v>36</v>
      </c>
    </row>
    <row r="136" spans="1:17" s="1592" customFormat="1">
      <c r="B136" s="1591" t="s">
        <v>958</v>
      </c>
      <c r="C136" s="1592">
        <f>SUM(C124:C135)</f>
        <v>20</v>
      </c>
      <c r="D136" s="1592">
        <f t="shared" ref="D136:P136" si="16">SUM(D124:D135)</f>
        <v>122</v>
      </c>
      <c r="E136" s="1592">
        <f t="shared" si="16"/>
        <v>108</v>
      </c>
      <c r="F136" s="1592">
        <f t="shared" si="16"/>
        <v>16</v>
      </c>
      <c r="G136" s="1592">
        <f t="shared" si="16"/>
        <v>25</v>
      </c>
      <c r="H136" s="1592">
        <f t="shared" si="16"/>
        <v>86</v>
      </c>
      <c r="I136" s="1592">
        <f t="shared" si="16"/>
        <v>67</v>
      </c>
      <c r="J136" s="1592">
        <f t="shared" si="16"/>
        <v>0</v>
      </c>
      <c r="K136" s="1592">
        <f t="shared" si="16"/>
        <v>84</v>
      </c>
      <c r="L136" s="1592">
        <f t="shared" si="16"/>
        <v>50</v>
      </c>
      <c r="M136" s="1592">
        <f t="shared" si="16"/>
        <v>147</v>
      </c>
      <c r="N136" s="1592">
        <f t="shared" si="16"/>
        <v>0</v>
      </c>
      <c r="O136" s="1592">
        <f t="shared" si="16"/>
        <v>0</v>
      </c>
      <c r="P136" s="1592">
        <f t="shared" si="16"/>
        <v>0</v>
      </c>
      <c r="Q136" s="1592">
        <f>SUM(Q124:Q135)</f>
        <v>725</v>
      </c>
    </row>
    <row r="138" spans="1:17">
      <c r="A138" s="1592" t="s">
        <v>991</v>
      </c>
    </row>
    <row r="139" spans="1:17">
      <c r="A139" s="1591" t="s">
        <v>977</v>
      </c>
      <c r="B139" s="1591" t="s">
        <v>958</v>
      </c>
      <c r="C139" s="1591">
        <v>3</v>
      </c>
      <c r="D139" s="1591">
        <v>0</v>
      </c>
      <c r="E139" s="1591">
        <v>0</v>
      </c>
      <c r="F139" s="1591">
        <v>0</v>
      </c>
      <c r="G139" s="1591">
        <v>0</v>
      </c>
      <c r="H139" s="1591">
        <v>0</v>
      </c>
      <c r="I139" s="1591">
        <v>0</v>
      </c>
      <c r="J139" s="1591">
        <v>0</v>
      </c>
      <c r="K139" s="1591">
        <v>0</v>
      </c>
      <c r="L139" s="1591">
        <v>50</v>
      </c>
      <c r="M139" s="1591">
        <v>0</v>
      </c>
      <c r="N139" s="1591">
        <v>0</v>
      </c>
      <c r="O139" s="1591">
        <v>0</v>
      </c>
      <c r="P139" s="1591">
        <v>0</v>
      </c>
      <c r="Q139" s="1592">
        <f>SUM(C139:P139)</f>
        <v>53</v>
      </c>
    </row>
    <row r="140" spans="1:17">
      <c r="A140" s="1591" t="s">
        <v>978</v>
      </c>
      <c r="B140" s="1591" t="s">
        <v>958</v>
      </c>
      <c r="C140" s="1591">
        <v>1</v>
      </c>
      <c r="D140" s="1591">
        <v>0</v>
      </c>
      <c r="E140" s="1591">
        <v>0</v>
      </c>
      <c r="F140" s="1591">
        <v>0</v>
      </c>
      <c r="G140" s="1591">
        <v>0</v>
      </c>
      <c r="H140" s="1591">
        <v>28</v>
      </c>
      <c r="I140" s="1591">
        <v>0</v>
      </c>
      <c r="J140" s="1591">
        <v>0</v>
      </c>
      <c r="K140" s="1591">
        <v>0</v>
      </c>
      <c r="L140" s="1591">
        <v>0</v>
      </c>
      <c r="M140" s="1591">
        <v>0</v>
      </c>
      <c r="N140" s="1591">
        <v>0</v>
      </c>
      <c r="O140" s="1591">
        <v>0</v>
      </c>
      <c r="P140" s="1591">
        <v>0</v>
      </c>
      <c r="Q140" s="1592">
        <f>SUM(C140:P140)</f>
        <v>29</v>
      </c>
    </row>
    <row r="141" spans="1:17">
      <c r="A141" s="1591" t="s">
        <v>979</v>
      </c>
      <c r="B141" s="1591" t="s">
        <v>958</v>
      </c>
      <c r="C141" s="1591">
        <v>0</v>
      </c>
      <c r="D141" s="1591">
        <v>7</v>
      </c>
      <c r="E141" s="1591">
        <v>0</v>
      </c>
      <c r="F141" s="1591">
        <v>0</v>
      </c>
      <c r="G141" s="1591">
        <v>23</v>
      </c>
      <c r="H141" s="1591">
        <v>0</v>
      </c>
      <c r="I141" s="1591">
        <v>0</v>
      </c>
      <c r="J141" s="1591">
        <v>0</v>
      </c>
      <c r="K141" s="1591">
        <v>0</v>
      </c>
      <c r="L141" s="1591">
        <v>0</v>
      </c>
      <c r="M141" s="1591">
        <v>0</v>
      </c>
      <c r="N141" s="1591">
        <v>0</v>
      </c>
      <c r="O141" s="1591">
        <v>0</v>
      </c>
      <c r="P141" s="1591">
        <v>0</v>
      </c>
      <c r="Q141" s="1592">
        <f>SUM(C141:P141)</f>
        <v>30</v>
      </c>
    </row>
    <row r="142" spans="1:17">
      <c r="A142" s="1591" t="s">
        <v>980</v>
      </c>
      <c r="B142" s="1591" t="s">
        <v>958</v>
      </c>
      <c r="C142" s="1591">
        <v>10</v>
      </c>
      <c r="D142" s="1591">
        <v>0</v>
      </c>
      <c r="E142" s="1591">
        <v>0</v>
      </c>
      <c r="F142" s="1591">
        <v>0</v>
      </c>
      <c r="G142" s="1591">
        <v>0</v>
      </c>
      <c r="H142" s="1591">
        <v>0</v>
      </c>
      <c r="I142" s="1591">
        <v>0</v>
      </c>
      <c r="J142" s="1591">
        <v>0</v>
      </c>
      <c r="K142" s="1591">
        <v>0</v>
      </c>
      <c r="L142" s="1591">
        <v>0</v>
      </c>
      <c r="M142" s="1591">
        <v>0</v>
      </c>
      <c r="N142" s="1591">
        <v>0</v>
      </c>
      <c r="O142" s="1591">
        <v>0</v>
      </c>
      <c r="P142" s="1591">
        <v>0</v>
      </c>
      <c r="Q142" s="1592">
        <f>SUM(C142:P142)</f>
        <v>10</v>
      </c>
    </row>
    <row r="143" spans="1:17">
      <c r="A143" s="1591" t="s">
        <v>981</v>
      </c>
      <c r="B143" s="1591" t="s">
        <v>958</v>
      </c>
      <c r="C143" s="1591">
        <v>8</v>
      </c>
      <c r="D143" s="1591">
        <v>0</v>
      </c>
      <c r="E143" s="1591">
        <v>0</v>
      </c>
      <c r="F143" s="1591">
        <v>0</v>
      </c>
      <c r="G143" s="1591">
        <v>0</v>
      </c>
      <c r="H143" s="1591">
        <v>0</v>
      </c>
      <c r="I143" s="1591">
        <v>0</v>
      </c>
      <c r="J143" s="1591">
        <v>0</v>
      </c>
      <c r="K143" s="1591">
        <v>0</v>
      </c>
      <c r="L143" s="1591">
        <v>0</v>
      </c>
      <c r="M143" s="1591">
        <v>0</v>
      </c>
      <c r="N143" s="1591">
        <v>0</v>
      </c>
      <c r="O143" s="1591">
        <v>0</v>
      </c>
      <c r="P143" s="1591">
        <v>0</v>
      </c>
      <c r="Q143" s="1592">
        <f t="shared" ref="Q143:Q150" si="17">SUM(C143:P143)</f>
        <v>8</v>
      </c>
    </row>
    <row r="144" spans="1:17">
      <c r="A144" s="1591" t="s">
        <v>982</v>
      </c>
      <c r="B144" s="1591" t="s">
        <v>958</v>
      </c>
      <c r="C144" s="1591">
        <v>0</v>
      </c>
      <c r="D144" s="1591">
        <v>15</v>
      </c>
      <c r="E144" s="1591">
        <v>0</v>
      </c>
      <c r="F144" s="1591">
        <v>0</v>
      </c>
      <c r="G144" s="1591">
        <v>0</v>
      </c>
      <c r="H144" s="1591">
        <v>0</v>
      </c>
      <c r="I144" s="1591">
        <v>0</v>
      </c>
      <c r="J144" s="1591">
        <v>0</v>
      </c>
      <c r="K144" s="1591">
        <v>0</v>
      </c>
      <c r="L144" s="1591">
        <v>0</v>
      </c>
      <c r="M144" s="1591">
        <v>0</v>
      </c>
      <c r="N144" s="1591">
        <v>0</v>
      </c>
      <c r="O144" s="1591">
        <v>0</v>
      </c>
      <c r="P144" s="1591">
        <v>0</v>
      </c>
      <c r="Q144" s="1592">
        <f t="shared" si="17"/>
        <v>15</v>
      </c>
    </row>
    <row r="145" spans="1:18">
      <c r="A145" s="1591" t="s">
        <v>983</v>
      </c>
      <c r="B145" s="1591" t="s">
        <v>958</v>
      </c>
      <c r="C145" s="1591">
        <v>0</v>
      </c>
      <c r="D145" s="1591">
        <v>17</v>
      </c>
      <c r="E145" s="1591">
        <v>0</v>
      </c>
      <c r="F145" s="1591">
        <v>0</v>
      </c>
      <c r="G145" s="1591">
        <v>0</v>
      </c>
      <c r="H145" s="1591">
        <v>0</v>
      </c>
      <c r="I145" s="1591">
        <v>0</v>
      </c>
      <c r="J145" s="1591">
        <v>0</v>
      </c>
      <c r="K145" s="1591">
        <v>0</v>
      </c>
      <c r="L145" s="1591">
        <v>0</v>
      </c>
      <c r="M145" s="1591">
        <v>0</v>
      </c>
      <c r="N145" s="1591">
        <v>0</v>
      </c>
      <c r="O145" s="1591">
        <v>0</v>
      </c>
      <c r="P145" s="1591">
        <v>0</v>
      </c>
      <c r="Q145" s="1592">
        <f t="shared" si="17"/>
        <v>17</v>
      </c>
    </row>
    <row r="146" spans="1:18">
      <c r="A146" s="1591" t="s">
        <v>984</v>
      </c>
      <c r="B146" s="1591" t="s">
        <v>958</v>
      </c>
      <c r="C146" s="1591">
        <v>0</v>
      </c>
      <c r="D146" s="1591">
        <v>6</v>
      </c>
      <c r="E146" s="1591">
        <v>0</v>
      </c>
      <c r="F146" s="1591">
        <v>0</v>
      </c>
      <c r="G146" s="1591">
        <v>0</v>
      </c>
      <c r="H146" s="1591">
        <v>29</v>
      </c>
      <c r="I146" s="1591">
        <v>0</v>
      </c>
      <c r="J146" s="1591">
        <v>0</v>
      </c>
      <c r="K146" s="1591">
        <v>0</v>
      </c>
      <c r="L146" s="1591">
        <v>0</v>
      </c>
      <c r="M146" s="1591">
        <v>0</v>
      </c>
      <c r="N146" s="1591">
        <v>0</v>
      </c>
      <c r="O146" s="1591">
        <v>0</v>
      </c>
      <c r="P146" s="1591">
        <v>0</v>
      </c>
      <c r="Q146" s="1592">
        <f t="shared" si="17"/>
        <v>35</v>
      </c>
    </row>
    <row r="147" spans="1:18">
      <c r="A147" s="1591" t="s">
        <v>985</v>
      </c>
      <c r="B147" s="1591" t="s">
        <v>958</v>
      </c>
      <c r="C147" s="1591">
        <v>0</v>
      </c>
      <c r="D147" s="1591">
        <v>6</v>
      </c>
      <c r="E147" s="1591">
        <v>0</v>
      </c>
      <c r="F147" s="1591">
        <v>0</v>
      </c>
      <c r="G147" s="1591">
        <v>0</v>
      </c>
      <c r="H147" s="1591">
        <v>0</v>
      </c>
      <c r="I147" s="1591">
        <v>32</v>
      </c>
      <c r="J147" s="1591">
        <v>0</v>
      </c>
      <c r="K147" s="1591">
        <v>0</v>
      </c>
      <c r="L147" s="1591">
        <v>0</v>
      </c>
      <c r="M147" s="1591">
        <v>0</v>
      </c>
      <c r="N147" s="1591">
        <v>0</v>
      </c>
      <c r="O147" s="1591">
        <v>0</v>
      </c>
      <c r="P147" s="1591">
        <v>0</v>
      </c>
      <c r="Q147" s="1592">
        <f t="shared" si="17"/>
        <v>38</v>
      </c>
    </row>
    <row r="148" spans="1:18">
      <c r="A148" s="1591" t="s">
        <v>986</v>
      </c>
      <c r="B148" s="1591" t="s">
        <v>958</v>
      </c>
      <c r="C148" s="1591">
        <v>0</v>
      </c>
      <c r="D148" s="1591">
        <v>12</v>
      </c>
      <c r="E148" s="1591">
        <v>0</v>
      </c>
      <c r="F148" s="1591">
        <v>0</v>
      </c>
      <c r="G148" s="1591">
        <v>0</v>
      </c>
      <c r="H148" s="1591">
        <v>0</v>
      </c>
      <c r="I148" s="1591">
        <v>0</v>
      </c>
      <c r="J148" s="1591">
        <v>0</v>
      </c>
      <c r="K148" s="1591">
        <v>0</v>
      </c>
      <c r="L148" s="1591">
        <v>0</v>
      </c>
      <c r="M148" s="1591">
        <v>0</v>
      </c>
      <c r="N148" s="1591">
        <v>0</v>
      </c>
      <c r="O148" s="1591">
        <v>0</v>
      </c>
      <c r="P148" s="1591">
        <v>0</v>
      </c>
      <c r="Q148" s="1592">
        <f t="shared" si="17"/>
        <v>12</v>
      </c>
    </row>
    <row r="149" spans="1:18">
      <c r="A149" s="1591" t="s">
        <v>987</v>
      </c>
      <c r="B149" s="1591" t="s">
        <v>958</v>
      </c>
      <c r="C149" s="1591">
        <v>4</v>
      </c>
      <c r="D149" s="1591">
        <v>8</v>
      </c>
      <c r="E149" s="1591">
        <v>0</v>
      </c>
      <c r="F149" s="1591">
        <v>0</v>
      </c>
      <c r="G149" s="1591">
        <v>0</v>
      </c>
      <c r="H149" s="1591">
        <v>0</v>
      </c>
      <c r="I149" s="1591">
        <v>0</v>
      </c>
      <c r="J149" s="1591">
        <v>0</v>
      </c>
      <c r="K149" s="1591">
        <v>0</v>
      </c>
      <c r="L149" s="1591">
        <v>0</v>
      </c>
      <c r="M149" s="1591">
        <v>0</v>
      </c>
      <c r="N149" s="1591">
        <v>0</v>
      </c>
      <c r="O149" s="1591">
        <v>0</v>
      </c>
      <c r="P149" s="1591">
        <v>0</v>
      </c>
      <c r="Q149" s="1592">
        <f t="shared" si="17"/>
        <v>12</v>
      </c>
    </row>
    <row r="150" spans="1:18">
      <c r="A150" s="1591" t="s">
        <v>988</v>
      </c>
      <c r="B150" s="1591" t="s">
        <v>958</v>
      </c>
      <c r="C150" s="1591">
        <v>0</v>
      </c>
      <c r="D150" s="1591">
        <v>19</v>
      </c>
      <c r="E150" s="1591">
        <v>0</v>
      </c>
      <c r="F150" s="1591">
        <v>0</v>
      </c>
      <c r="G150" s="1591">
        <v>0</v>
      </c>
      <c r="H150" s="1591">
        <v>0</v>
      </c>
      <c r="I150" s="1591">
        <v>0</v>
      </c>
      <c r="J150" s="1591">
        <v>0</v>
      </c>
      <c r="K150" s="1591">
        <v>0</v>
      </c>
      <c r="L150" s="1591">
        <v>0</v>
      </c>
      <c r="M150" s="1591">
        <v>0</v>
      </c>
      <c r="N150" s="1591">
        <v>0</v>
      </c>
      <c r="O150" s="1591">
        <v>0</v>
      </c>
      <c r="P150" s="1591">
        <v>0</v>
      </c>
      <c r="Q150" s="1592">
        <f t="shared" si="17"/>
        <v>19</v>
      </c>
    </row>
    <row r="151" spans="1:18">
      <c r="A151" s="1592"/>
      <c r="B151" s="1591" t="s">
        <v>958</v>
      </c>
      <c r="C151" s="1592">
        <f>SUM(C139:C150)</f>
        <v>26</v>
      </c>
      <c r="D151" s="1592">
        <f t="shared" ref="D151:P151" si="18">SUM(D139:D150)</f>
        <v>90</v>
      </c>
      <c r="E151" s="1592">
        <f t="shared" si="18"/>
        <v>0</v>
      </c>
      <c r="F151" s="1592">
        <f t="shared" si="18"/>
        <v>0</v>
      </c>
      <c r="G151" s="1592">
        <f t="shared" si="18"/>
        <v>23</v>
      </c>
      <c r="H151" s="1592">
        <f t="shared" si="18"/>
        <v>57</v>
      </c>
      <c r="I151" s="1592">
        <f t="shared" si="18"/>
        <v>32</v>
      </c>
      <c r="J151" s="1592">
        <f t="shared" si="18"/>
        <v>0</v>
      </c>
      <c r="K151" s="1592">
        <f t="shared" si="18"/>
        <v>0</v>
      </c>
      <c r="L151" s="1592">
        <f t="shared" si="18"/>
        <v>50</v>
      </c>
      <c r="M151" s="1592">
        <f t="shared" si="18"/>
        <v>0</v>
      </c>
      <c r="N151" s="1592">
        <f t="shared" si="18"/>
        <v>0</v>
      </c>
      <c r="O151" s="1592">
        <f t="shared" si="18"/>
        <v>0</v>
      </c>
      <c r="P151" s="1592">
        <f t="shared" si="18"/>
        <v>0</v>
      </c>
      <c r="Q151" s="1592">
        <f>SUM(Q139:Q150)</f>
        <v>278</v>
      </c>
      <c r="R151" s="1592"/>
    </row>
    <row r="152" spans="1:18" ht="15.75" thickBot="1">
      <c r="A152" s="1788"/>
      <c r="B152" s="1787" t="s">
        <v>913</v>
      </c>
      <c r="C152" s="1787">
        <f>C106+C121+C136+C151</f>
        <v>949</v>
      </c>
      <c r="D152" s="1787">
        <f t="shared" ref="D152:P152" si="19">D106+D121+D136+D151</f>
        <v>3271</v>
      </c>
      <c r="E152" s="1787">
        <f t="shared" si="19"/>
        <v>2245</v>
      </c>
      <c r="F152" s="1787">
        <f t="shared" si="19"/>
        <v>1374</v>
      </c>
      <c r="G152" s="1787">
        <f t="shared" si="19"/>
        <v>2110</v>
      </c>
      <c r="H152" s="1787">
        <f t="shared" si="19"/>
        <v>2008</v>
      </c>
      <c r="I152" s="1787">
        <f t="shared" si="19"/>
        <v>1704</v>
      </c>
      <c r="J152" s="1787">
        <f t="shared" si="19"/>
        <v>1681</v>
      </c>
      <c r="K152" s="1787">
        <f t="shared" si="19"/>
        <v>1789</v>
      </c>
      <c r="L152" s="1787">
        <f t="shared" si="19"/>
        <v>1778</v>
      </c>
      <c r="M152" s="1787">
        <f t="shared" si="19"/>
        <v>10591</v>
      </c>
      <c r="N152" s="1787">
        <f t="shared" si="19"/>
        <v>11905</v>
      </c>
      <c r="O152" s="1787">
        <f t="shared" si="19"/>
        <v>8332</v>
      </c>
      <c r="P152" s="1787">
        <f t="shared" si="19"/>
        <v>94837</v>
      </c>
      <c r="Q152" s="1787"/>
    </row>
    <row r="153" spans="1:18" s="1595" customFormat="1" ht="15.75" thickTop="1">
      <c r="A153" s="1594" t="s">
        <v>994</v>
      </c>
      <c r="Q153" s="1594"/>
    </row>
    <row r="154" spans="1:18">
      <c r="A154" s="1592" t="s">
        <v>976</v>
      </c>
    </row>
    <row r="155" spans="1:18">
      <c r="A155" s="1591" t="s">
        <v>977</v>
      </c>
      <c r="B155" s="1591" t="s">
        <v>958</v>
      </c>
      <c r="C155" s="1591">
        <v>2</v>
      </c>
      <c r="D155" s="1591">
        <v>6</v>
      </c>
      <c r="E155" s="1591">
        <v>0</v>
      </c>
      <c r="F155" s="1591">
        <v>0</v>
      </c>
      <c r="G155" s="1591">
        <v>0</v>
      </c>
      <c r="H155" s="1591">
        <v>0</v>
      </c>
      <c r="I155" s="1591">
        <v>0</v>
      </c>
      <c r="J155" s="1591">
        <v>0</v>
      </c>
      <c r="K155" s="1591">
        <v>0</v>
      </c>
      <c r="L155" s="1591">
        <v>0</v>
      </c>
      <c r="M155" s="1591">
        <v>0</v>
      </c>
      <c r="N155" s="1591">
        <v>0</v>
      </c>
      <c r="O155" s="1591">
        <v>0</v>
      </c>
      <c r="P155" s="1591">
        <v>0</v>
      </c>
      <c r="Q155" s="1592">
        <f>SUM(C155:P155)</f>
        <v>8</v>
      </c>
    </row>
    <row r="156" spans="1:18">
      <c r="A156" s="1591" t="s">
        <v>978</v>
      </c>
      <c r="B156" s="1591" t="s">
        <v>958</v>
      </c>
      <c r="C156" s="1591">
        <v>0</v>
      </c>
      <c r="D156" s="1591">
        <v>12</v>
      </c>
      <c r="E156" s="1591">
        <v>0</v>
      </c>
      <c r="F156" s="1591">
        <v>0</v>
      </c>
      <c r="G156" s="1591">
        <v>0</v>
      </c>
      <c r="H156" s="1591">
        <v>0</v>
      </c>
      <c r="I156" s="1591">
        <v>0</v>
      </c>
      <c r="J156" s="1591">
        <v>0</v>
      </c>
      <c r="K156" s="1591">
        <v>0</v>
      </c>
      <c r="L156" s="1591">
        <v>0</v>
      </c>
      <c r="M156" s="1591">
        <v>0</v>
      </c>
      <c r="N156" s="1591">
        <v>0</v>
      </c>
      <c r="O156" s="1591">
        <v>0</v>
      </c>
      <c r="P156" s="1591">
        <v>0</v>
      </c>
      <c r="Q156" s="1592">
        <f>SUM(C156:P156)</f>
        <v>12</v>
      </c>
    </row>
    <row r="157" spans="1:18">
      <c r="A157" s="1591" t="s">
        <v>979</v>
      </c>
      <c r="B157" s="1591" t="s">
        <v>958</v>
      </c>
      <c r="C157" s="1591">
        <v>0</v>
      </c>
      <c r="D157" s="1591">
        <v>12</v>
      </c>
      <c r="E157" s="1591">
        <v>0</v>
      </c>
      <c r="F157" s="1591">
        <v>0</v>
      </c>
      <c r="G157" s="1591">
        <v>0</v>
      </c>
      <c r="H157" s="1591">
        <v>0</v>
      </c>
      <c r="I157" s="1591">
        <v>0</v>
      </c>
      <c r="J157" s="1591">
        <v>0</v>
      </c>
      <c r="K157" s="1591">
        <v>0</v>
      </c>
      <c r="L157" s="1591">
        <v>0</v>
      </c>
      <c r="M157" s="1591">
        <v>0</v>
      </c>
      <c r="N157" s="1591">
        <v>0</v>
      </c>
      <c r="O157" s="1591">
        <v>0</v>
      </c>
      <c r="P157" s="1591">
        <v>0</v>
      </c>
      <c r="Q157" s="1592">
        <f>SUM(C157:P157)</f>
        <v>12</v>
      </c>
    </row>
    <row r="158" spans="1:18">
      <c r="A158" s="1591" t="s">
        <v>980</v>
      </c>
      <c r="B158" s="1591" t="s">
        <v>958</v>
      </c>
      <c r="C158" s="1591">
        <v>0</v>
      </c>
      <c r="D158" s="1591">
        <v>12</v>
      </c>
      <c r="E158" s="1591">
        <v>0</v>
      </c>
      <c r="F158" s="1591">
        <v>0</v>
      </c>
      <c r="G158" s="1591">
        <v>0</v>
      </c>
      <c r="H158" s="1591">
        <v>0</v>
      </c>
      <c r="I158" s="1591">
        <v>0</v>
      </c>
      <c r="J158" s="1591">
        <v>0</v>
      </c>
      <c r="K158" s="1591">
        <v>0</v>
      </c>
      <c r="L158" s="1591">
        <v>0</v>
      </c>
      <c r="M158" s="1591">
        <v>0</v>
      </c>
      <c r="N158" s="1591">
        <v>0</v>
      </c>
      <c r="O158" s="1591">
        <v>0</v>
      </c>
      <c r="P158" s="1591">
        <v>0</v>
      </c>
      <c r="Q158" s="1592">
        <f>SUM(C158:P158)</f>
        <v>12</v>
      </c>
    </row>
    <row r="159" spans="1:18">
      <c r="A159" s="1591" t="s">
        <v>981</v>
      </c>
      <c r="B159" s="1591" t="s">
        <v>958</v>
      </c>
      <c r="C159" s="1591">
        <v>1</v>
      </c>
      <c r="D159" s="1591">
        <v>6</v>
      </c>
      <c r="E159" s="1591">
        <v>0</v>
      </c>
      <c r="F159" s="1591">
        <v>0</v>
      </c>
      <c r="G159" s="1591">
        <v>0</v>
      </c>
      <c r="H159" s="1591">
        <v>0</v>
      </c>
      <c r="I159" s="1591">
        <v>0</v>
      </c>
      <c r="J159" s="1591">
        <v>0</v>
      </c>
      <c r="K159" s="1591">
        <v>0</v>
      </c>
      <c r="L159" s="1591">
        <v>0</v>
      </c>
      <c r="M159" s="1591">
        <v>0</v>
      </c>
      <c r="N159" s="1591">
        <v>0</v>
      </c>
      <c r="O159" s="1591">
        <v>0</v>
      </c>
      <c r="P159" s="1591">
        <v>0</v>
      </c>
      <c r="Q159" s="1592">
        <f t="shared" ref="Q159:Q165" si="20">SUM(C159:P159)</f>
        <v>7</v>
      </c>
    </row>
    <row r="160" spans="1:18">
      <c r="A160" s="1591" t="s">
        <v>982</v>
      </c>
      <c r="B160" s="1591" t="s">
        <v>958</v>
      </c>
      <c r="C160" s="1591">
        <v>2</v>
      </c>
      <c r="D160" s="1591">
        <v>6</v>
      </c>
      <c r="E160" s="1591">
        <v>0</v>
      </c>
      <c r="F160" s="1591">
        <v>0</v>
      </c>
      <c r="G160" s="1591">
        <v>0</v>
      </c>
      <c r="H160" s="1591">
        <v>0</v>
      </c>
      <c r="I160" s="1591">
        <v>0</v>
      </c>
      <c r="J160" s="1591">
        <v>0</v>
      </c>
      <c r="K160" s="1591">
        <v>0</v>
      </c>
      <c r="L160" s="1591">
        <v>0</v>
      </c>
      <c r="M160" s="1591">
        <v>0</v>
      </c>
      <c r="N160" s="1591">
        <v>0</v>
      </c>
      <c r="O160" s="1591">
        <v>0</v>
      </c>
      <c r="P160" s="1591">
        <v>0</v>
      </c>
      <c r="Q160" s="1592">
        <f t="shared" si="20"/>
        <v>8</v>
      </c>
    </row>
    <row r="161" spans="1:17">
      <c r="A161" s="1591" t="s">
        <v>983</v>
      </c>
      <c r="B161" s="1591" t="s">
        <v>958</v>
      </c>
      <c r="C161" s="1591">
        <v>1</v>
      </c>
      <c r="D161" s="1591">
        <v>6</v>
      </c>
      <c r="E161" s="1591">
        <v>0</v>
      </c>
      <c r="F161" s="1591">
        <v>0</v>
      </c>
      <c r="G161" s="1591">
        <v>0</v>
      </c>
      <c r="H161" s="1591">
        <v>0</v>
      </c>
      <c r="I161" s="1591">
        <v>0</v>
      </c>
      <c r="J161" s="1591">
        <v>0</v>
      </c>
      <c r="K161" s="1591">
        <v>0</v>
      </c>
      <c r="L161" s="1591">
        <v>0</v>
      </c>
      <c r="M161" s="1591">
        <v>0</v>
      </c>
      <c r="N161" s="1591">
        <v>0</v>
      </c>
      <c r="O161" s="1591">
        <v>0</v>
      </c>
      <c r="P161" s="1591">
        <v>0</v>
      </c>
      <c r="Q161" s="1592">
        <f t="shared" si="20"/>
        <v>7</v>
      </c>
    </row>
    <row r="162" spans="1:17">
      <c r="A162" s="1591" t="s">
        <v>984</v>
      </c>
      <c r="B162" s="1591" t="s">
        <v>958</v>
      </c>
      <c r="C162" s="1591">
        <v>0</v>
      </c>
      <c r="D162" s="1591">
        <v>12</v>
      </c>
      <c r="E162" s="1591">
        <v>0</v>
      </c>
      <c r="F162" s="1591">
        <v>0</v>
      </c>
      <c r="G162" s="1591">
        <v>0</v>
      </c>
      <c r="H162" s="1591">
        <v>0</v>
      </c>
      <c r="I162" s="1591">
        <v>0</v>
      </c>
      <c r="J162" s="1591">
        <v>0</v>
      </c>
      <c r="K162" s="1591">
        <v>0</v>
      </c>
      <c r="L162" s="1591">
        <v>0</v>
      </c>
      <c r="M162" s="1591">
        <v>0</v>
      </c>
      <c r="N162" s="1591">
        <v>0</v>
      </c>
      <c r="O162" s="1591">
        <v>0</v>
      </c>
      <c r="P162" s="1591">
        <v>0</v>
      </c>
      <c r="Q162" s="1592">
        <f t="shared" si="20"/>
        <v>12</v>
      </c>
    </row>
    <row r="163" spans="1:17">
      <c r="A163" s="1591" t="s">
        <v>985</v>
      </c>
      <c r="B163" s="1591" t="s">
        <v>958</v>
      </c>
      <c r="C163" s="1591">
        <v>1</v>
      </c>
      <c r="D163" s="1591">
        <v>6</v>
      </c>
      <c r="E163" s="1591">
        <v>0</v>
      </c>
      <c r="F163" s="1591">
        <v>0</v>
      </c>
      <c r="G163" s="1591">
        <v>0</v>
      </c>
      <c r="H163" s="1591">
        <v>0</v>
      </c>
      <c r="I163" s="1591">
        <v>0</v>
      </c>
      <c r="J163" s="1591">
        <v>0</v>
      </c>
      <c r="K163" s="1591">
        <v>0</v>
      </c>
      <c r="L163" s="1591">
        <v>0</v>
      </c>
      <c r="M163" s="1591">
        <v>0</v>
      </c>
      <c r="N163" s="1591">
        <v>0</v>
      </c>
      <c r="O163" s="1591">
        <v>0</v>
      </c>
      <c r="P163" s="1591">
        <v>0</v>
      </c>
      <c r="Q163" s="1592">
        <f t="shared" si="20"/>
        <v>7</v>
      </c>
    </row>
    <row r="164" spans="1:17">
      <c r="A164" s="1591" t="s">
        <v>986</v>
      </c>
      <c r="B164" s="1591" t="s">
        <v>958</v>
      </c>
      <c r="C164" s="1591">
        <v>3</v>
      </c>
      <c r="D164" s="1591">
        <v>6</v>
      </c>
      <c r="E164" s="1591">
        <v>0</v>
      </c>
      <c r="F164" s="1591">
        <v>0</v>
      </c>
      <c r="G164" s="1591">
        <v>0</v>
      </c>
      <c r="H164" s="1591">
        <v>0</v>
      </c>
      <c r="I164" s="1591">
        <v>0</v>
      </c>
      <c r="J164" s="1591">
        <v>0</v>
      </c>
      <c r="K164" s="1591">
        <v>0</v>
      </c>
      <c r="L164" s="1591">
        <v>0</v>
      </c>
      <c r="M164" s="1591">
        <v>0</v>
      </c>
      <c r="N164" s="1591">
        <v>0</v>
      </c>
      <c r="O164" s="1591">
        <v>0</v>
      </c>
      <c r="P164" s="1591">
        <v>0</v>
      </c>
      <c r="Q164" s="1592">
        <f t="shared" si="20"/>
        <v>9</v>
      </c>
    </row>
    <row r="165" spans="1:17">
      <c r="A165" s="1591" t="s">
        <v>987</v>
      </c>
      <c r="B165" s="1591" t="s">
        <v>958</v>
      </c>
      <c r="C165" s="1591">
        <v>3</v>
      </c>
      <c r="D165" s="1591">
        <v>6</v>
      </c>
      <c r="E165" s="1591">
        <v>0</v>
      </c>
      <c r="F165" s="1591">
        <v>0</v>
      </c>
      <c r="G165" s="1591">
        <v>0</v>
      </c>
      <c r="H165" s="1591">
        <v>0</v>
      </c>
      <c r="I165" s="1591">
        <v>0</v>
      </c>
      <c r="J165" s="1591">
        <v>0</v>
      </c>
      <c r="K165" s="1591">
        <v>0</v>
      </c>
      <c r="L165" s="1591">
        <v>0</v>
      </c>
      <c r="M165" s="1591">
        <v>0</v>
      </c>
      <c r="N165" s="1591">
        <v>0</v>
      </c>
      <c r="O165" s="1591">
        <v>0</v>
      </c>
      <c r="P165" s="1591">
        <v>0</v>
      </c>
      <c r="Q165" s="1592">
        <f t="shared" si="20"/>
        <v>9</v>
      </c>
    </row>
    <row r="166" spans="1:17">
      <c r="A166" s="1591" t="s">
        <v>988</v>
      </c>
      <c r="B166" s="1591" t="s">
        <v>958</v>
      </c>
      <c r="C166" s="1591">
        <v>5</v>
      </c>
      <c r="D166" s="1591">
        <v>6</v>
      </c>
      <c r="E166" s="1591">
        <v>0</v>
      </c>
      <c r="F166" s="1591">
        <v>0</v>
      </c>
      <c r="G166" s="1591">
        <v>0</v>
      </c>
      <c r="H166" s="1591">
        <v>0</v>
      </c>
      <c r="I166" s="1591">
        <v>0</v>
      </c>
      <c r="J166" s="1591">
        <v>0</v>
      </c>
      <c r="K166" s="1591">
        <v>0</v>
      </c>
      <c r="L166" s="1591">
        <v>0</v>
      </c>
      <c r="M166" s="1591">
        <v>0</v>
      </c>
      <c r="N166" s="1591">
        <v>0</v>
      </c>
      <c r="O166" s="1591">
        <v>0</v>
      </c>
      <c r="P166" s="1591">
        <v>0</v>
      </c>
      <c r="Q166" s="1592">
        <f>SUM(C166:P166)</f>
        <v>11</v>
      </c>
    </row>
    <row r="167" spans="1:17" s="1592" customFormat="1">
      <c r="B167" s="1591" t="s">
        <v>958</v>
      </c>
      <c r="C167" s="1592">
        <f>SUM(C155:C166)</f>
        <v>18</v>
      </c>
      <c r="D167" s="1592">
        <f t="shared" ref="D167:P167" si="21">SUM(D155:D166)</f>
        <v>96</v>
      </c>
      <c r="E167" s="1592">
        <f t="shared" si="21"/>
        <v>0</v>
      </c>
      <c r="F167" s="1592">
        <f t="shared" si="21"/>
        <v>0</v>
      </c>
      <c r="G167" s="1592">
        <f t="shared" si="21"/>
        <v>0</v>
      </c>
      <c r="H167" s="1592">
        <f t="shared" si="21"/>
        <v>0</v>
      </c>
      <c r="I167" s="1592">
        <f t="shared" si="21"/>
        <v>0</v>
      </c>
      <c r="J167" s="1592">
        <f>SUM(J155:J166)</f>
        <v>0</v>
      </c>
      <c r="K167" s="1592">
        <f t="shared" si="21"/>
        <v>0</v>
      </c>
      <c r="L167" s="1592">
        <f t="shared" si="21"/>
        <v>0</v>
      </c>
      <c r="M167" s="1592">
        <f t="shared" si="21"/>
        <v>0</v>
      </c>
      <c r="N167" s="1592">
        <f t="shared" si="21"/>
        <v>0</v>
      </c>
      <c r="O167" s="1592">
        <f t="shared" si="21"/>
        <v>0</v>
      </c>
      <c r="P167" s="1592">
        <f t="shared" si="21"/>
        <v>0</v>
      </c>
      <c r="Q167" s="1592">
        <f>SUM(Q155:Q166)</f>
        <v>114</v>
      </c>
    </row>
    <row r="169" spans="1:17">
      <c r="A169" s="1592" t="s">
        <v>989</v>
      </c>
      <c r="C169" s="1591" t="s">
        <v>960</v>
      </c>
      <c r="D169" s="1591" t="s">
        <v>961</v>
      </c>
      <c r="E169" s="1591" t="s">
        <v>962</v>
      </c>
      <c r="F169" s="1591" t="s">
        <v>963</v>
      </c>
      <c r="G169" s="1591" t="s">
        <v>964</v>
      </c>
      <c r="H169" s="1591" t="s">
        <v>965</v>
      </c>
      <c r="I169" s="1591" t="s">
        <v>966</v>
      </c>
      <c r="J169" s="1591" t="s">
        <v>967</v>
      </c>
      <c r="K169" s="1591" t="s">
        <v>968</v>
      </c>
      <c r="L169" s="1591" t="s">
        <v>969</v>
      </c>
      <c r="M169" s="1591" t="s">
        <v>970</v>
      </c>
      <c r="N169" s="1591" t="s">
        <v>971</v>
      </c>
      <c r="O169" s="1591" t="s">
        <v>972</v>
      </c>
      <c r="P169" s="1591" t="s">
        <v>973</v>
      </c>
      <c r="Q169" s="1592" t="s">
        <v>22</v>
      </c>
    </row>
    <row r="170" spans="1:17">
      <c r="A170" s="1591" t="s">
        <v>977</v>
      </c>
      <c r="B170" s="1591" t="s">
        <v>958</v>
      </c>
      <c r="C170" s="1591">
        <v>1</v>
      </c>
      <c r="D170" s="1591">
        <v>10</v>
      </c>
      <c r="E170" s="1591">
        <v>11</v>
      </c>
      <c r="F170" s="1591">
        <v>17</v>
      </c>
      <c r="G170" s="1591">
        <v>0</v>
      </c>
      <c r="H170" s="1591">
        <v>0</v>
      </c>
      <c r="I170" s="1591">
        <v>0</v>
      </c>
      <c r="J170" s="1591">
        <v>0</v>
      </c>
      <c r="K170" s="1591">
        <v>0</v>
      </c>
      <c r="L170" s="1591">
        <v>0</v>
      </c>
      <c r="M170" s="1591">
        <v>0</v>
      </c>
      <c r="N170" s="1591">
        <v>0</v>
      </c>
      <c r="O170" s="1591">
        <v>0</v>
      </c>
      <c r="P170" s="1591">
        <v>0</v>
      </c>
      <c r="Q170" s="1592">
        <f t="shared" ref="Q170:Q171" si="22">SUM(C170:P170)</f>
        <v>39</v>
      </c>
    </row>
    <row r="171" spans="1:17">
      <c r="A171" s="1591" t="s">
        <v>978</v>
      </c>
      <c r="B171" s="1591" t="s">
        <v>958</v>
      </c>
      <c r="C171" s="1591">
        <v>1</v>
      </c>
      <c r="D171" s="1591">
        <v>16</v>
      </c>
      <c r="E171" s="1591">
        <v>12</v>
      </c>
      <c r="F171" s="1591">
        <v>0</v>
      </c>
      <c r="G171" s="1591">
        <v>0</v>
      </c>
      <c r="H171" s="1591">
        <v>0</v>
      </c>
      <c r="I171" s="1591">
        <v>0</v>
      </c>
      <c r="J171" s="1591">
        <v>0</v>
      </c>
      <c r="K171" s="1591">
        <v>0</v>
      </c>
      <c r="L171" s="1591">
        <v>0</v>
      </c>
      <c r="M171" s="1591">
        <v>0</v>
      </c>
      <c r="N171" s="1591">
        <v>0</v>
      </c>
      <c r="O171" s="1591">
        <v>0</v>
      </c>
      <c r="P171" s="1591">
        <v>0</v>
      </c>
      <c r="Q171" s="1592">
        <f t="shared" si="22"/>
        <v>29</v>
      </c>
    </row>
    <row r="172" spans="1:17">
      <c r="A172" s="1591" t="s">
        <v>979</v>
      </c>
      <c r="B172" s="1591" t="s">
        <v>958</v>
      </c>
      <c r="C172" s="1591">
        <v>2</v>
      </c>
      <c r="D172" s="1591">
        <v>6</v>
      </c>
      <c r="E172" s="1591">
        <v>24</v>
      </c>
      <c r="F172" s="1591">
        <v>0</v>
      </c>
      <c r="G172" s="1591">
        <v>0</v>
      </c>
      <c r="H172" s="1591">
        <v>0</v>
      </c>
      <c r="I172" s="1591">
        <v>0</v>
      </c>
      <c r="J172" s="1591">
        <v>0</v>
      </c>
      <c r="K172" s="1591">
        <v>0</v>
      </c>
      <c r="L172" s="1591">
        <v>0</v>
      </c>
      <c r="M172" s="1591">
        <v>0</v>
      </c>
      <c r="N172" s="1591">
        <v>0</v>
      </c>
      <c r="O172" s="1591">
        <v>0</v>
      </c>
      <c r="P172" s="1591">
        <v>0</v>
      </c>
      <c r="Q172" s="1592">
        <f>SUM(C172:P172)</f>
        <v>32</v>
      </c>
    </row>
    <row r="173" spans="1:17">
      <c r="A173" s="1591" t="s">
        <v>980</v>
      </c>
      <c r="B173" s="1591" t="s">
        <v>958</v>
      </c>
      <c r="C173" s="1591">
        <v>0</v>
      </c>
      <c r="D173" s="1591">
        <v>24</v>
      </c>
      <c r="E173" s="1591">
        <v>12</v>
      </c>
      <c r="F173" s="1591">
        <v>0</v>
      </c>
      <c r="G173" s="1591">
        <v>0</v>
      </c>
      <c r="H173" s="1591">
        <v>0</v>
      </c>
      <c r="I173" s="1591">
        <v>0</v>
      </c>
      <c r="J173" s="1591">
        <v>0</v>
      </c>
      <c r="K173" s="1591">
        <v>0</v>
      </c>
      <c r="L173" s="1591">
        <v>0</v>
      </c>
      <c r="M173" s="1591">
        <v>0</v>
      </c>
      <c r="N173" s="1591">
        <v>0</v>
      </c>
      <c r="O173" s="1591">
        <v>0</v>
      </c>
      <c r="P173" s="1591">
        <v>0</v>
      </c>
      <c r="Q173" s="1592">
        <f>SUM(C173:P173)</f>
        <v>36</v>
      </c>
    </row>
    <row r="174" spans="1:17">
      <c r="A174" s="1591" t="s">
        <v>981</v>
      </c>
      <c r="B174" s="1591" t="s">
        <v>958</v>
      </c>
      <c r="C174" s="1591">
        <v>0</v>
      </c>
      <c r="D174" s="1591">
        <v>22</v>
      </c>
      <c r="E174" s="1591">
        <v>11</v>
      </c>
      <c r="F174" s="1591">
        <v>0</v>
      </c>
      <c r="G174" s="1591">
        <v>0</v>
      </c>
      <c r="H174" s="1591">
        <v>0</v>
      </c>
      <c r="I174" s="1591">
        <v>0</v>
      </c>
      <c r="J174" s="1591">
        <v>0</v>
      </c>
      <c r="K174" s="1591">
        <v>0</v>
      </c>
      <c r="L174" s="1591">
        <v>0</v>
      </c>
      <c r="M174" s="1591">
        <v>0</v>
      </c>
      <c r="N174" s="1591">
        <v>0</v>
      </c>
      <c r="O174" s="1591">
        <v>0</v>
      </c>
      <c r="P174" s="1591">
        <v>0</v>
      </c>
      <c r="Q174" s="1592">
        <f t="shared" ref="Q174:Q181" si="23">SUM(C174:P174)</f>
        <v>33</v>
      </c>
    </row>
    <row r="175" spans="1:17">
      <c r="A175" s="1591" t="s">
        <v>982</v>
      </c>
      <c r="B175" s="1591" t="s">
        <v>958</v>
      </c>
      <c r="C175" s="1591">
        <v>0</v>
      </c>
      <c r="D175" s="1591">
        <v>17</v>
      </c>
      <c r="E175" s="1591">
        <v>12</v>
      </c>
      <c r="F175" s="1591">
        <v>17</v>
      </c>
      <c r="G175" s="1591">
        <v>0</v>
      </c>
      <c r="H175" s="1591">
        <v>0</v>
      </c>
      <c r="I175" s="1591">
        <v>0</v>
      </c>
      <c r="J175" s="1591">
        <v>0</v>
      </c>
      <c r="K175" s="1591">
        <v>0</v>
      </c>
      <c r="L175" s="1591">
        <v>0</v>
      </c>
      <c r="M175" s="1591">
        <v>0</v>
      </c>
      <c r="N175" s="1591">
        <v>0</v>
      </c>
      <c r="O175" s="1591">
        <v>0</v>
      </c>
      <c r="P175" s="1591">
        <v>0</v>
      </c>
      <c r="Q175" s="1592">
        <f t="shared" si="23"/>
        <v>46</v>
      </c>
    </row>
    <row r="176" spans="1:17">
      <c r="A176" s="1591" t="s">
        <v>983</v>
      </c>
      <c r="B176" s="1591" t="s">
        <v>958</v>
      </c>
      <c r="C176" s="1591">
        <v>0</v>
      </c>
      <c r="D176" s="1591">
        <v>26</v>
      </c>
      <c r="E176" s="1591">
        <v>0</v>
      </c>
      <c r="F176" s="1591">
        <v>0</v>
      </c>
      <c r="G176" s="1591">
        <v>0</v>
      </c>
      <c r="H176" s="1591">
        <v>0</v>
      </c>
      <c r="I176" s="1591">
        <v>0</v>
      </c>
      <c r="J176" s="1591">
        <v>0</v>
      </c>
      <c r="K176" s="1591">
        <v>0</v>
      </c>
      <c r="L176" s="1591">
        <v>0</v>
      </c>
      <c r="M176" s="1591">
        <v>0</v>
      </c>
      <c r="N176" s="1591">
        <v>0</v>
      </c>
      <c r="O176" s="1591">
        <v>0</v>
      </c>
      <c r="P176" s="1591">
        <v>0</v>
      </c>
      <c r="Q176" s="1592">
        <f t="shared" si="23"/>
        <v>26</v>
      </c>
    </row>
    <row r="177" spans="1:17">
      <c r="A177" s="1591" t="s">
        <v>984</v>
      </c>
      <c r="B177" s="1591" t="s">
        <v>958</v>
      </c>
      <c r="C177" s="1591">
        <v>0</v>
      </c>
      <c r="D177" s="1591">
        <v>25</v>
      </c>
      <c r="E177" s="1591">
        <v>13</v>
      </c>
      <c r="F177" s="1591">
        <v>0</v>
      </c>
      <c r="G177" s="1591">
        <v>0</v>
      </c>
      <c r="H177" s="1591">
        <v>0</v>
      </c>
      <c r="I177" s="1591">
        <v>0</v>
      </c>
      <c r="J177" s="1591">
        <v>0</v>
      </c>
      <c r="K177" s="1591">
        <v>0</v>
      </c>
      <c r="L177" s="1591">
        <v>0</v>
      </c>
      <c r="M177" s="1591">
        <v>0</v>
      </c>
      <c r="N177" s="1591">
        <v>0</v>
      </c>
      <c r="O177" s="1591">
        <v>0</v>
      </c>
      <c r="P177" s="1591">
        <v>0</v>
      </c>
      <c r="Q177" s="1592">
        <f t="shared" si="23"/>
        <v>38</v>
      </c>
    </row>
    <row r="178" spans="1:17">
      <c r="A178" s="1591" t="s">
        <v>985</v>
      </c>
      <c r="B178" s="1591" t="s">
        <v>958</v>
      </c>
      <c r="C178" s="1591">
        <v>2</v>
      </c>
      <c r="D178" s="1591">
        <v>17</v>
      </c>
      <c r="E178" s="1591">
        <v>12</v>
      </c>
      <c r="F178" s="1591">
        <v>0</v>
      </c>
      <c r="G178" s="1591">
        <v>0</v>
      </c>
      <c r="H178" s="1591">
        <v>0</v>
      </c>
      <c r="I178" s="1591">
        <v>0</v>
      </c>
      <c r="J178" s="1591">
        <v>0</v>
      </c>
      <c r="K178" s="1591">
        <v>0</v>
      </c>
      <c r="L178" s="1591">
        <v>0</v>
      </c>
      <c r="M178" s="1591">
        <v>0</v>
      </c>
      <c r="N178" s="1591">
        <v>0</v>
      </c>
      <c r="O178" s="1591">
        <v>0</v>
      </c>
      <c r="P178" s="1591">
        <v>0</v>
      </c>
      <c r="Q178" s="1592">
        <f t="shared" si="23"/>
        <v>31</v>
      </c>
    </row>
    <row r="179" spans="1:17">
      <c r="A179" s="1591" t="s">
        <v>986</v>
      </c>
      <c r="B179" s="1591" t="s">
        <v>958</v>
      </c>
      <c r="C179" s="1591">
        <v>0</v>
      </c>
      <c r="D179" s="1591">
        <v>10</v>
      </c>
      <c r="E179" s="1591">
        <v>23</v>
      </c>
      <c r="F179" s="1591">
        <v>16</v>
      </c>
      <c r="G179" s="1591">
        <v>0</v>
      </c>
      <c r="H179" s="1591">
        <v>0</v>
      </c>
      <c r="I179" s="1591">
        <v>0</v>
      </c>
      <c r="J179" s="1591">
        <v>0</v>
      </c>
      <c r="K179" s="1591">
        <v>0</v>
      </c>
      <c r="L179" s="1591">
        <v>0</v>
      </c>
      <c r="M179" s="1591">
        <v>0</v>
      </c>
      <c r="N179" s="1591">
        <v>0</v>
      </c>
      <c r="O179" s="1591">
        <v>0</v>
      </c>
      <c r="P179" s="1591">
        <v>0</v>
      </c>
      <c r="Q179" s="1592">
        <f t="shared" si="23"/>
        <v>49</v>
      </c>
    </row>
    <row r="180" spans="1:17">
      <c r="A180" s="1591" t="s">
        <v>987</v>
      </c>
      <c r="B180" s="1591" t="s">
        <v>958</v>
      </c>
      <c r="C180" s="1591">
        <v>0</v>
      </c>
      <c r="D180" s="1591">
        <v>28</v>
      </c>
      <c r="E180" s="1591">
        <v>15</v>
      </c>
      <c r="F180" s="1591">
        <v>0</v>
      </c>
      <c r="G180" s="1591">
        <v>0</v>
      </c>
      <c r="H180" s="1591">
        <v>0</v>
      </c>
      <c r="I180" s="1591">
        <v>0</v>
      </c>
      <c r="J180" s="1591">
        <v>0</v>
      </c>
      <c r="K180" s="1591">
        <v>0</v>
      </c>
      <c r="L180" s="1591">
        <v>0</v>
      </c>
      <c r="M180" s="1591">
        <v>0</v>
      </c>
      <c r="N180" s="1591">
        <v>0</v>
      </c>
      <c r="O180" s="1591">
        <v>0</v>
      </c>
      <c r="P180" s="1591">
        <v>0</v>
      </c>
      <c r="Q180" s="1592">
        <f t="shared" si="23"/>
        <v>43</v>
      </c>
    </row>
    <row r="181" spans="1:17">
      <c r="A181" s="1591" t="s">
        <v>988</v>
      </c>
      <c r="B181" s="1591" t="s">
        <v>958</v>
      </c>
      <c r="C181" s="1591">
        <v>0</v>
      </c>
      <c r="D181" s="1591">
        <v>10</v>
      </c>
      <c r="E181" s="1591">
        <v>24</v>
      </c>
      <c r="F181" s="1591">
        <v>20</v>
      </c>
      <c r="G181" s="1591">
        <v>0</v>
      </c>
      <c r="H181" s="1591">
        <v>0</v>
      </c>
      <c r="I181" s="1591">
        <v>0</v>
      </c>
      <c r="J181" s="1591">
        <v>0</v>
      </c>
      <c r="K181" s="1591">
        <v>0</v>
      </c>
      <c r="L181" s="1591">
        <v>0</v>
      </c>
      <c r="M181" s="1591">
        <v>0</v>
      </c>
      <c r="N181" s="1591">
        <v>0</v>
      </c>
      <c r="O181" s="1591">
        <v>0</v>
      </c>
      <c r="P181" s="1591">
        <v>0</v>
      </c>
      <c r="Q181" s="1592">
        <f t="shared" si="23"/>
        <v>54</v>
      </c>
    </row>
    <row r="182" spans="1:17" s="1592" customFormat="1">
      <c r="B182" s="1591" t="s">
        <v>958</v>
      </c>
      <c r="C182" s="1592">
        <f>SUM(C170:C181)</f>
        <v>6</v>
      </c>
      <c r="D182" s="1592">
        <f t="shared" ref="D182:O182" si="24">SUM(D170:D181)</f>
        <v>211</v>
      </c>
      <c r="E182" s="1592">
        <f t="shared" si="24"/>
        <v>169</v>
      </c>
      <c r="F182" s="1592">
        <f t="shared" si="24"/>
        <v>70</v>
      </c>
      <c r="G182" s="1592">
        <f t="shared" si="24"/>
        <v>0</v>
      </c>
      <c r="H182" s="1592">
        <f t="shared" si="24"/>
        <v>0</v>
      </c>
      <c r="I182" s="1592">
        <f t="shared" si="24"/>
        <v>0</v>
      </c>
      <c r="J182" s="1592">
        <f t="shared" si="24"/>
        <v>0</v>
      </c>
      <c r="K182" s="1592">
        <f t="shared" si="24"/>
        <v>0</v>
      </c>
      <c r="L182" s="1592">
        <f t="shared" si="24"/>
        <v>0</v>
      </c>
      <c r="M182" s="1592">
        <f t="shared" si="24"/>
        <v>0</v>
      </c>
      <c r="N182" s="1592">
        <f t="shared" si="24"/>
        <v>0</v>
      </c>
      <c r="O182" s="1592">
        <f t="shared" si="24"/>
        <v>0</v>
      </c>
      <c r="P182" s="1592">
        <f>SUM(P170:P181)</f>
        <v>0</v>
      </c>
      <c r="Q182" s="1592">
        <f>SUM(Q170:Q181)</f>
        <v>456</v>
      </c>
    </row>
    <row r="184" spans="1:17">
      <c r="A184" s="1592" t="s">
        <v>995</v>
      </c>
      <c r="C184" s="1591" t="s">
        <v>960</v>
      </c>
      <c r="D184" s="1591" t="s">
        <v>961</v>
      </c>
      <c r="E184" s="1591" t="s">
        <v>962</v>
      </c>
      <c r="F184" s="1591" t="s">
        <v>963</v>
      </c>
      <c r="G184" s="1591" t="s">
        <v>964</v>
      </c>
      <c r="H184" s="1591" t="s">
        <v>965</v>
      </c>
      <c r="I184" s="1591" t="s">
        <v>966</v>
      </c>
      <c r="J184" s="1591" t="s">
        <v>967</v>
      </c>
      <c r="K184" s="1591" t="s">
        <v>968</v>
      </c>
      <c r="L184" s="1591" t="s">
        <v>969</v>
      </c>
      <c r="M184" s="1591" t="s">
        <v>970</v>
      </c>
      <c r="N184" s="1591" t="s">
        <v>971</v>
      </c>
      <c r="O184" s="1591" t="s">
        <v>972</v>
      </c>
      <c r="P184" s="1591" t="s">
        <v>973</v>
      </c>
      <c r="Q184" s="1592" t="s">
        <v>22</v>
      </c>
    </row>
    <row r="185" spans="1:17">
      <c r="A185" s="1591" t="s">
        <v>977</v>
      </c>
      <c r="B185" s="1591" t="s">
        <v>958</v>
      </c>
      <c r="C185" s="1591">
        <v>0</v>
      </c>
      <c r="D185" s="1591">
        <v>6</v>
      </c>
      <c r="E185" s="1591">
        <v>0</v>
      </c>
      <c r="F185" s="1591">
        <v>0</v>
      </c>
      <c r="G185" s="1591">
        <v>0</v>
      </c>
      <c r="H185" s="1591">
        <v>0</v>
      </c>
      <c r="I185" s="1591">
        <v>0</v>
      </c>
      <c r="J185" s="1591">
        <v>0</v>
      </c>
      <c r="K185" s="1591">
        <v>0</v>
      </c>
      <c r="L185" s="1591">
        <v>0</v>
      </c>
      <c r="M185" s="1591">
        <v>0</v>
      </c>
      <c r="N185" s="1591">
        <v>0</v>
      </c>
      <c r="O185" s="1591">
        <v>0</v>
      </c>
      <c r="P185" s="1591">
        <v>0</v>
      </c>
      <c r="Q185" s="1592">
        <f t="shared" ref="Q185:Q186" si="25">SUM(C185:P185)</f>
        <v>6</v>
      </c>
    </row>
    <row r="186" spans="1:17">
      <c r="A186" s="1591" t="s">
        <v>978</v>
      </c>
      <c r="B186" s="1591" t="s">
        <v>958</v>
      </c>
      <c r="C186" s="1591">
        <v>0</v>
      </c>
      <c r="D186" s="1591">
        <v>6</v>
      </c>
      <c r="E186" s="1591">
        <v>0</v>
      </c>
      <c r="F186" s="1591">
        <v>0</v>
      </c>
      <c r="G186" s="1591">
        <v>0</v>
      </c>
      <c r="H186" s="1591">
        <v>0</v>
      </c>
      <c r="I186" s="1591">
        <v>0</v>
      </c>
      <c r="J186" s="1591">
        <v>0</v>
      </c>
      <c r="K186" s="1591">
        <v>0</v>
      </c>
      <c r="L186" s="1591">
        <v>0</v>
      </c>
      <c r="M186" s="1591">
        <v>0</v>
      </c>
      <c r="N186" s="1591">
        <v>0</v>
      </c>
      <c r="O186" s="1591">
        <v>0</v>
      </c>
      <c r="P186" s="1591">
        <v>0</v>
      </c>
      <c r="Q186" s="1592">
        <f t="shared" si="25"/>
        <v>6</v>
      </c>
    </row>
    <row r="187" spans="1:17">
      <c r="A187" s="1591" t="s">
        <v>979</v>
      </c>
      <c r="B187" s="1591" t="s">
        <v>958</v>
      </c>
      <c r="C187" s="1591">
        <v>0</v>
      </c>
      <c r="D187" s="1591">
        <v>6</v>
      </c>
      <c r="E187" s="1591">
        <v>0</v>
      </c>
      <c r="F187" s="1591">
        <v>0</v>
      </c>
      <c r="G187" s="1591">
        <v>0</v>
      </c>
      <c r="H187" s="1591">
        <v>0</v>
      </c>
      <c r="I187" s="1591">
        <v>0</v>
      </c>
      <c r="J187" s="1591">
        <v>0</v>
      </c>
      <c r="K187" s="1591">
        <v>0</v>
      </c>
      <c r="L187" s="1591">
        <v>0</v>
      </c>
      <c r="M187" s="1591">
        <v>0</v>
      </c>
      <c r="N187" s="1591">
        <v>0</v>
      </c>
      <c r="O187" s="1591">
        <v>0</v>
      </c>
      <c r="P187" s="1591">
        <v>0</v>
      </c>
      <c r="Q187" s="1592">
        <f>SUM(C187:P187)</f>
        <v>6</v>
      </c>
    </row>
    <row r="188" spans="1:17">
      <c r="A188" s="1591" t="s">
        <v>980</v>
      </c>
      <c r="B188" s="1591" t="s">
        <v>958</v>
      </c>
      <c r="C188" s="1591">
        <v>0</v>
      </c>
      <c r="D188" s="1591">
        <v>0</v>
      </c>
      <c r="E188" s="1591">
        <v>0</v>
      </c>
      <c r="F188" s="1591">
        <v>0</v>
      </c>
      <c r="G188" s="1591">
        <v>0</v>
      </c>
      <c r="H188" s="1591">
        <v>0</v>
      </c>
      <c r="I188" s="1591">
        <v>0</v>
      </c>
      <c r="J188" s="1591">
        <v>0</v>
      </c>
      <c r="K188" s="1591">
        <v>0</v>
      </c>
      <c r="L188" s="1591">
        <v>0</v>
      </c>
      <c r="M188" s="1591">
        <v>0</v>
      </c>
      <c r="N188" s="1591">
        <v>0</v>
      </c>
      <c r="O188" s="1591">
        <v>0</v>
      </c>
      <c r="P188" s="1591">
        <v>0</v>
      </c>
      <c r="Q188" s="1592">
        <f>SUM(C188:P188)</f>
        <v>0</v>
      </c>
    </row>
    <row r="189" spans="1:17">
      <c r="A189" s="1591" t="s">
        <v>981</v>
      </c>
      <c r="B189" s="1591" t="s">
        <v>958</v>
      </c>
      <c r="C189" s="1591">
        <v>2</v>
      </c>
      <c r="D189" s="1591">
        <v>0</v>
      </c>
      <c r="E189" s="1591">
        <v>0</v>
      </c>
      <c r="F189" s="1591">
        <v>0</v>
      </c>
      <c r="G189" s="1591">
        <v>0</v>
      </c>
      <c r="H189" s="1591">
        <v>0</v>
      </c>
      <c r="I189" s="1591">
        <v>0</v>
      </c>
      <c r="J189" s="1591">
        <v>0</v>
      </c>
      <c r="K189" s="1591">
        <v>0</v>
      </c>
      <c r="L189" s="1591">
        <v>0</v>
      </c>
      <c r="M189" s="1591">
        <v>0</v>
      </c>
      <c r="N189" s="1591">
        <v>0</v>
      </c>
      <c r="O189" s="1591">
        <v>0</v>
      </c>
      <c r="P189" s="1591">
        <v>0</v>
      </c>
      <c r="Q189" s="1592">
        <f t="shared" ref="Q189:Q196" si="26">SUM(C189:P189)</f>
        <v>2</v>
      </c>
    </row>
    <row r="190" spans="1:17">
      <c r="A190" s="1591" t="s">
        <v>982</v>
      </c>
      <c r="B190" s="1591" t="s">
        <v>958</v>
      </c>
      <c r="C190" s="1591">
        <v>0</v>
      </c>
      <c r="D190" s="1591">
        <v>6</v>
      </c>
      <c r="E190" s="1591">
        <v>0</v>
      </c>
      <c r="F190" s="1591">
        <v>0</v>
      </c>
      <c r="G190" s="1591">
        <v>0</v>
      </c>
      <c r="H190" s="1591">
        <v>0</v>
      </c>
      <c r="I190" s="1591">
        <v>0</v>
      </c>
      <c r="J190" s="1591">
        <v>0</v>
      </c>
      <c r="K190" s="1591">
        <v>0</v>
      </c>
      <c r="L190" s="1591">
        <v>0</v>
      </c>
      <c r="M190" s="1591">
        <v>0</v>
      </c>
      <c r="N190" s="1591">
        <v>0</v>
      </c>
      <c r="O190" s="1591">
        <v>0</v>
      </c>
      <c r="P190" s="1591">
        <v>0</v>
      </c>
      <c r="Q190" s="1592">
        <f t="shared" si="26"/>
        <v>6</v>
      </c>
    </row>
    <row r="191" spans="1:17">
      <c r="A191" s="1591" t="s">
        <v>983</v>
      </c>
      <c r="B191" s="1591" t="s">
        <v>958</v>
      </c>
      <c r="C191" s="1591">
        <v>1</v>
      </c>
      <c r="D191" s="1591">
        <v>0</v>
      </c>
      <c r="E191" s="1591">
        <v>0</v>
      </c>
      <c r="F191" s="1591">
        <v>0</v>
      </c>
      <c r="G191" s="1591">
        <v>0</v>
      </c>
      <c r="H191" s="1591">
        <v>0</v>
      </c>
      <c r="I191" s="1591">
        <v>0</v>
      </c>
      <c r="J191" s="1591">
        <v>0</v>
      </c>
      <c r="K191" s="1591">
        <v>0</v>
      </c>
      <c r="L191" s="1591">
        <v>0</v>
      </c>
      <c r="M191" s="1591">
        <v>0</v>
      </c>
      <c r="N191" s="1591">
        <v>0</v>
      </c>
      <c r="O191" s="1591">
        <v>0</v>
      </c>
      <c r="P191" s="1591">
        <v>0</v>
      </c>
      <c r="Q191" s="1592">
        <f t="shared" si="26"/>
        <v>1</v>
      </c>
    </row>
    <row r="192" spans="1:17">
      <c r="A192" s="1591" t="s">
        <v>984</v>
      </c>
      <c r="B192" s="1591" t="s">
        <v>958</v>
      </c>
      <c r="C192" s="1591">
        <v>0</v>
      </c>
      <c r="D192" s="1591">
        <v>6</v>
      </c>
      <c r="E192" s="1591">
        <v>0</v>
      </c>
      <c r="F192" s="1591">
        <v>0</v>
      </c>
      <c r="G192" s="1591">
        <v>0</v>
      </c>
      <c r="H192" s="1591">
        <v>0</v>
      </c>
      <c r="I192" s="1591">
        <v>0</v>
      </c>
      <c r="J192" s="1591">
        <v>0</v>
      </c>
      <c r="K192" s="1591">
        <v>0</v>
      </c>
      <c r="L192" s="1591">
        <v>0</v>
      </c>
      <c r="M192" s="1591">
        <v>0</v>
      </c>
      <c r="N192" s="1591">
        <v>0</v>
      </c>
      <c r="O192" s="1591">
        <v>0</v>
      </c>
      <c r="P192" s="1591">
        <v>0</v>
      </c>
      <c r="Q192" s="1592">
        <f t="shared" si="26"/>
        <v>6</v>
      </c>
    </row>
    <row r="193" spans="1:18">
      <c r="A193" s="1591" t="s">
        <v>985</v>
      </c>
      <c r="B193" s="1591" t="s">
        <v>958</v>
      </c>
      <c r="C193" s="1591">
        <v>0</v>
      </c>
      <c r="D193" s="1591">
        <v>6</v>
      </c>
      <c r="E193" s="1591">
        <v>0</v>
      </c>
      <c r="F193" s="1591">
        <v>0</v>
      </c>
      <c r="G193" s="1591">
        <v>0</v>
      </c>
      <c r="H193" s="1591">
        <v>0</v>
      </c>
      <c r="I193" s="1591">
        <v>0</v>
      </c>
      <c r="J193" s="1591">
        <v>0</v>
      </c>
      <c r="K193" s="1591">
        <v>0</v>
      </c>
      <c r="L193" s="1591">
        <v>0</v>
      </c>
      <c r="M193" s="1591">
        <v>0</v>
      </c>
      <c r="N193" s="1591">
        <v>0</v>
      </c>
      <c r="O193" s="1591">
        <v>0</v>
      </c>
      <c r="P193" s="1591">
        <v>0</v>
      </c>
      <c r="Q193" s="1592">
        <f t="shared" si="26"/>
        <v>6</v>
      </c>
    </row>
    <row r="194" spans="1:18">
      <c r="A194" s="1591" t="s">
        <v>986</v>
      </c>
      <c r="B194" s="1591" t="s">
        <v>958</v>
      </c>
      <c r="C194" s="1591">
        <v>1</v>
      </c>
      <c r="D194" s="1591">
        <v>0</v>
      </c>
      <c r="E194" s="1591">
        <v>0</v>
      </c>
      <c r="F194" s="1591">
        <v>0</v>
      </c>
      <c r="G194" s="1591">
        <v>0</v>
      </c>
      <c r="H194" s="1591">
        <v>0</v>
      </c>
      <c r="I194" s="1591">
        <v>0</v>
      </c>
      <c r="J194" s="1591">
        <v>0</v>
      </c>
      <c r="K194" s="1591">
        <v>0</v>
      </c>
      <c r="L194" s="1591">
        <v>0</v>
      </c>
      <c r="M194" s="1591">
        <v>0</v>
      </c>
      <c r="N194" s="1591">
        <v>0</v>
      </c>
      <c r="O194" s="1591">
        <v>0</v>
      </c>
      <c r="P194" s="1591">
        <v>0</v>
      </c>
      <c r="Q194" s="1592">
        <f t="shared" si="26"/>
        <v>1</v>
      </c>
    </row>
    <row r="195" spans="1:18">
      <c r="A195" s="1591" t="s">
        <v>987</v>
      </c>
      <c r="B195" s="1591" t="s">
        <v>958</v>
      </c>
      <c r="C195" s="1591">
        <v>0</v>
      </c>
      <c r="D195" s="1591">
        <v>6</v>
      </c>
      <c r="E195" s="1591">
        <v>0</v>
      </c>
      <c r="F195" s="1591">
        <v>0</v>
      </c>
      <c r="G195" s="1591">
        <v>0</v>
      </c>
      <c r="H195" s="1591">
        <v>0</v>
      </c>
      <c r="I195" s="1591">
        <v>0</v>
      </c>
      <c r="J195" s="1591">
        <v>0</v>
      </c>
      <c r="K195" s="1591">
        <v>0</v>
      </c>
      <c r="L195" s="1591">
        <v>0</v>
      </c>
      <c r="M195" s="1591">
        <v>0</v>
      </c>
      <c r="N195" s="1591">
        <v>0</v>
      </c>
      <c r="O195" s="1591">
        <v>0</v>
      </c>
      <c r="P195" s="1591">
        <v>0</v>
      </c>
      <c r="Q195" s="1592">
        <f t="shared" si="26"/>
        <v>6</v>
      </c>
    </row>
    <row r="196" spans="1:18">
      <c r="A196" s="1591" t="s">
        <v>988</v>
      </c>
      <c r="B196" s="1591" t="s">
        <v>958</v>
      </c>
      <c r="C196" s="1591">
        <v>0</v>
      </c>
      <c r="D196" s="1591">
        <v>6</v>
      </c>
      <c r="E196" s="1591">
        <v>0</v>
      </c>
      <c r="F196" s="1591">
        <v>0</v>
      </c>
      <c r="G196" s="1591">
        <v>0</v>
      </c>
      <c r="H196" s="1591">
        <v>0</v>
      </c>
      <c r="I196" s="1591">
        <v>0</v>
      </c>
      <c r="J196" s="1591">
        <v>0</v>
      </c>
      <c r="K196" s="1591">
        <v>0</v>
      </c>
      <c r="L196" s="1591">
        <v>0</v>
      </c>
      <c r="M196" s="1591">
        <v>0</v>
      </c>
      <c r="N196" s="1591">
        <v>0</v>
      </c>
      <c r="O196" s="1591">
        <v>0</v>
      </c>
      <c r="P196" s="1591">
        <v>0</v>
      </c>
      <c r="Q196" s="1592">
        <f t="shared" si="26"/>
        <v>6</v>
      </c>
    </row>
    <row r="197" spans="1:18">
      <c r="A197" s="1592"/>
      <c r="B197" s="1591" t="s">
        <v>958</v>
      </c>
      <c r="C197" s="1592">
        <f>SUM(C185:C196)</f>
        <v>4</v>
      </c>
      <c r="D197" s="1592">
        <f t="shared" ref="D197:O197" si="27">SUM(D185:D196)</f>
        <v>48</v>
      </c>
      <c r="E197" s="1592">
        <f t="shared" si="27"/>
        <v>0</v>
      </c>
      <c r="F197" s="1592">
        <f t="shared" si="27"/>
        <v>0</v>
      </c>
      <c r="G197" s="1592">
        <f t="shared" si="27"/>
        <v>0</v>
      </c>
      <c r="H197" s="1592">
        <f t="shared" si="27"/>
        <v>0</v>
      </c>
      <c r="I197" s="1592">
        <f t="shared" si="27"/>
        <v>0</v>
      </c>
      <c r="J197" s="1592">
        <f t="shared" si="27"/>
        <v>0</v>
      </c>
      <c r="K197" s="1592">
        <f t="shared" si="27"/>
        <v>0</v>
      </c>
      <c r="L197" s="1592">
        <f t="shared" si="27"/>
        <v>0</v>
      </c>
      <c r="M197" s="1592">
        <f t="shared" si="27"/>
        <v>0</v>
      </c>
      <c r="N197" s="1592">
        <f t="shared" si="27"/>
        <v>0</v>
      </c>
      <c r="O197" s="1592">
        <f t="shared" si="27"/>
        <v>0</v>
      </c>
      <c r="P197" s="1592">
        <f>SUM(P185:P196)</f>
        <v>0</v>
      </c>
      <c r="Q197" s="1592">
        <f>SUM(Q185:Q196)</f>
        <v>52</v>
      </c>
      <c r="R197" s="1592"/>
    </row>
    <row r="199" spans="1:18">
      <c r="A199" s="1592" t="s">
        <v>991</v>
      </c>
    </row>
    <row r="200" spans="1:18">
      <c r="A200" s="1591" t="s">
        <v>977</v>
      </c>
      <c r="B200" s="1591" t="s">
        <v>958</v>
      </c>
      <c r="C200" s="1591">
        <v>4</v>
      </c>
      <c r="D200" s="1591">
        <v>0</v>
      </c>
      <c r="E200" s="1591">
        <v>0</v>
      </c>
      <c r="F200" s="1591">
        <v>0</v>
      </c>
      <c r="G200" s="1591">
        <v>0</v>
      </c>
      <c r="H200" s="1591">
        <v>0</v>
      </c>
      <c r="I200" s="1591">
        <v>0</v>
      </c>
      <c r="J200" s="1591">
        <v>0</v>
      </c>
      <c r="K200" s="1591">
        <v>0</v>
      </c>
      <c r="L200" s="1591">
        <v>0</v>
      </c>
      <c r="M200" s="1591">
        <v>0</v>
      </c>
      <c r="N200" s="1591">
        <v>0</v>
      </c>
      <c r="O200" s="1591">
        <v>0</v>
      </c>
      <c r="P200" s="1591">
        <v>0</v>
      </c>
      <c r="Q200" s="1592">
        <f t="shared" ref="Q200:Q201" si="28">SUM(C200:P200)</f>
        <v>4</v>
      </c>
    </row>
    <row r="201" spans="1:18">
      <c r="A201" s="1591" t="s">
        <v>978</v>
      </c>
      <c r="B201" s="1591" t="s">
        <v>958</v>
      </c>
      <c r="C201" s="1591">
        <v>1</v>
      </c>
      <c r="D201" s="1591">
        <v>0</v>
      </c>
      <c r="E201" s="1591">
        <v>0</v>
      </c>
      <c r="F201" s="1591">
        <v>0</v>
      </c>
      <c r="G201" s="1591">
        <v>0</v>
      </c>
      <c r="H201" s="1591">
        <v>0</v>
      </c>
      <c r="I201" s="1591">
        <v>0</v>
      </c>
      <c r="J201" s="1591">
        <v>0</v>
      </c>
      <c r="K201" s="1591">
        <v>0</v>
      </c>
      <c r="L201" s="1591">
        <v>0</v>
      </c>
      <c r="M201" s="1591">
        <v>0</v>
      </c>
      <c r="N201" s="1591">
        <v>0</v>
      </c>
      <c r="O201" s="1591">
        <v>0</v>
      </c>
      <c r="P201" s="1591">
        <v>0</v>
      </c>
      <c r="Q201" s="1592">
        <f t="shared" si="28"/>
        <v>1</v>
      </c>
    </row>
    <row r="202" spans="1:18">
      <c r="A202" s="1591" t="s">
        <v>979</v>
      </c>
      <c r="B202" s="1591" t="s">
        <v>958</v>
      </c>
      <c r="C202" s="1591">
        <v>4</v>
      </c>
      <c r="D202" s="1591">
        <v>0</v>
      </c>
      <c r="E202" s="1591">
        <v>0</v>
      </c>
      <c r="F202" s="1591">
        <v>0</v>
      </c>
      <c r="G202" s="1591">
        <v>0</v>
      </c>
      <c r="H202" s="1591">
        <v>0</v>
      </c>
      <c r="I202" s="1591">
        <v>0</v>
      </c>
      <c r="J202" s="1591">
        <v>0</v>
      </c>
      <c r="K202" s="1591">
        <v>0</v>
      </c>
      <c r="L202" s="1591">
        <v>0</v>
      </c>
      <c r="M202" s="1591">
        <v>0</v>
      </c>
      <c r="N202" s="1591">
        <v>0</v>
      </c>
      <c r="O202" s="1591">
        <v>0</v>
      </c>
      <c r="P202" s="1591">
        <v>0</v>
      </c>
      <c r="Q202" s="1592">
        <f>SUM(C202:P202)</f>
        <v>4</v>
      </c>
    </row>
    <row r="203" spans="1:18">
      <c r="A203" s="1591" t="s">
        <v>980</v>
      </c>
      <c r="B203" s="1591" t="s">
        <v>958</v>
      </c>
      <c r="C203" s="1591">
        <v>0</v>
      </c>
      <c r="D203" s="1591">
        <v>9</v>
      </c>
      <c r="E203" s="1591">
        <v>0</v>
      </c>
      <c r="F203" s="1591">
        <v>0</v>
      </c>
      <c r="G203" s="1591">
        <v>0</v>
      </c>
      <c r="H203" s="1591">
        <v>0</v>
      </c>
      <c r="I203" s="1591">
        <v>0</v>
      </c>
      <c r="J203" s="1591">
        <v>0</v>
      </c>
      <c r="K203" s="1591">
        <v>0</v>
      </c>
      <c r="L203" s="1591">
        <v>0</v>
      </c>
      <c r="M203" s="1591">
        <v>0</v>
      </c>
      <c r="N203" s="1591">
        <v>0</v>
      </c>
      <c r="O203" s="1591">
        <v>0</v>
      </c>
      <c r="P203" s="1591">
        <v>0</v>
      </c>
      <c r="Q203" s="1592">
        <f>SUM(C203:P203)</f>
        <v>9</v>
      </c>
    </row>
    <row r="204" spans="1:18">
      <c r="A204" s="1591" t="s">
        <v>981</v>
      </c>
      <c r="B204" s="1591" t="s">
        <v>958</v>
      </c>
      <c r="C204" s="1591">
        <v>0</v>
      </c>
      <c r="D204" s="1591">
        <v>6</v>
      </c>
      <c r="E204" s="1591">
        <v>0</v>
      </c>
      <c r="F204" s="1591">
        <v>0</v>
      </c>
      <c r="G204" s="1591">
        <v>0</v>
      </c>
      <c r="H204" s="1591">
        <v>0</v>
      </c>
      <c r="I204" s="1591">
        <v>0</v>
      </c>
      <c r="J204" s="1591">
        <v>0</v>
      </c>
      <c r="K204" s="1591">
        <v>0</v>
      </c>
      <c r="L204" s="1591">
        <v>0</v>
      </c>
      <c r="M204" s="1591">
        <v>0</v>
      </c>
      <c r="N204" s="1591">
        <v>0</v>
      </c>
      <c r="O204" s="1591">
        <v>0</v>
      </c>
      <c r="P204" s="1591">
        <v>0</v>
      </c>
      <c r="Q204" s="1592">
        <f t="shared" ref="Q204:Q211" si="29">SUM(C204:P204)</f>
        <v>6</v>
      </c>
    </row>
    <row r="205" spans="1:18">
      <c r="A205" s="1591" t="s">
        <v>982</v>
      </c>
      <c r="B205" s="1591" t="s">
        <v>958</v>
      </c>
      <c r="C205" s="1591">
        <v>0</v>
      </c>
      <c r="D205" s="1591">
        <v>9</v>
      </c>
      <c r="E205" s="1591">
        <v>0</v>
      </c>
      <c r="F205" s="1591">
        <v>0</v>
      </c>
      <c r="G205" s="1591">
        <v>0</v>
      </c>
      <c r="H205" s="1591">
        <v>0</v>
      </c>
      <c r="I205" s="1591">
        <v>0</v>
      </c>
      <c r="J205" s="1591">
        <v>0</v>
      </c>
      <c r="K205" s="1591">
        <v>0</v>
      </c>
      <c r="L205" s="1591">
        <v>0</v>
      </c>
      <c r="M205" s="1591">
        <v>0</v>
      </c>
      <c r="N205" s="1591">
        <v>0</v>
      </c>
      <c r="O205" s="1591">
        <v>0</v>
      </c>
      <c r="P205" s="1591">
        <v>0</v>
      </c>
      <c r="Q205" s="1592">
        <f t="shared" si="29"/>
        <v>9</v>
      </c>
    </row>
    <row r="206" spans="1:18">
      <c r="A206" s="1591" t="s">
        <v>983</v>
      </c>
      <c r="B206" s="1591" t="s">
        <v>958</v>
      </c>
      <c r="C206" s="1591">
        <v>2</v>
      </c>
      <c r="D206" s="1591">
        <v>0</v>
      </c>
      <c r="E206" s="1591">
        <v>0</v>
      </c>
      <c r="F206" s="1591">
        <v>0</v>
      </c>
      <c r="G206" s="1591">
        <v>0</v>
      </c>
      <c r="H206" s="1591">
        <v>0</v>
      </c>
      <c r="I206" s="1591">
        <v>0</v>
      </c>
      <c r="J206" s="1591">
        <v>0</v>
      </c>
      <c r="K206" s="1591">
        <v>0</v>
      </c>
      <c r="L206" s="1591">
        <v>0</v>
      </c>
      <c r="M206" s="1591">
        <v>0</v>
      </c>
      <c r="N206" s="1591">
        <v>0</v>
      </c>
      <c r="O206" s="1591">
        <v>0</v>
      </c>
      <c r="P206" s="1591">
        <v>0</v>
      </c>
      <c r="Q206" s="1592">
        <f t="shared" si="29"/>
        <v>2</v>
      </c>
    </row>
    <row r="207" spans="1:18">
      <c r="A207" s="1591" t="s">
        <v>984</v>
      </c>
      <c r="B207" s="1591" t="s">
        <v>958</v>
      </c>
      <c r="C207" s="1591">
        <v>3</v>
      </c>
      <c r="D207" s="1591">
        <v>0</v>
      </c>
      <c r="E207" s="1591">
        <v>0</v>
      </c>
      <c r="F207" s="1591">
        <v>0</v>
      </c>
      <c r="G207" s="1591">
        <v>0</v>
      </c>
      <c r="H207" s="1591">
        <v>0</v>
      </c>
      <c r="I207" s="1591">
        <v>0</v>
      </c>
      <c r="J207" s="1591">
        <v>0</v>
      </c>
      <c r="K207" s="1591">
        <v>0</v>
      </c>
      <c r="L207" s="1591">
        <v>0</v>
      </c>
      <c r="M207" s="1591">
        <v>0</v>
      </c>
      <c r="N207" s="1591">
        <v>0</v>
      </c>
      <c r="O207" s="1591">
        <v>0</v>
      </c>
      <c r="P207" s="1591">
        <v>0</v>
      </c>
      <c r="Q207" s="1592">
        <f t="shared" si="29"/>
        <v>3</v>
      </c>
    </row>
    <row r="208" spans="1:18">
      <c r="A208" s="1591" t="s">
        <v>985</v>
      </c>
      <c r="B208" s="1591" t="s">
        <v>958</v>
      </c>
      <c r="C208" s="1591">
        <v>0</v>
      </c>
      <c r="D208" s="1591">
        <v>7</v>
      </c>
      <c r="E208" s="1591">
        <v>0</v>
      </c>
      <c r="F208" s="1591">
        <v>0</v>
      </c>
      <c r="G208" s="1591">
        <v>0</v>
      </c>
      <c r="H208" s="1591">
        <v>0</v>
      </c>
      <c r="I208" s="1591">
        <v>0</v>
      </c>
      <c r="J208" s="1591">
        <v>0</v>
      </c>
      <c r="K208" s="1591">
        <v>0</v>
      </c>
      <c r="L208" s="1591">
        <v>0</v>
      </c>
      <c r="M208" s="1591">
        <v>0</v>
      </c>
      <c r="N208" s="1591">
        <v>0</v>
      </c>
      <c r="O208" s="1591">
        <v>0</v>
      </c>
      <c r="P208" s="1591">
        <v>0</v>
      </c>
      <c r="Q208" s="1592">
        <f t="shared" si="29"/>
        <v>7</v>
      </c>
    </row>
    <row r="209" spans="1:17">
      <c r="A209" s="1591" t="s">
        <v>986</v>
      </c>
      <c r="B209" s="1591" t="s">
        <v>958</v>
      </c>
      <c r="C209" s="1591">
        <v>5</v>
      </c>
      <c r="D209" s="1591">
        <v>0</v>
      </c>
      <c r="E209" s="1591">
        <v>0</v>
      </c>
      <c r="F209" s="1591">
        <v>0</v>
      </c>
      <c r="G209" s="1591">
        <v>0</v>
      </c>
      <c r="H209" s="1591">
        <v>0</v>
      </c>
      <c r="I209" s="1591">
        <v>0</v>
      </c>
      <c r="J209" s="1591">
        <v>0</v>
      </c>
      <c r="K209" s="1591">
        <v>0</v>
      </c>
      <c r="L209" s="1591">
        <v>0</v>
      </c>
      <c r="M209" s="1591">
        <v>0</v>
      </c>
      <c r="N209" s="1591">
        <v>0</v>
      </c>
      <c r="O209" s="1591">
        <v>0</v>
      </c>
      <c r="P209" s="1591">
        <v>0</v>
      </c>
      <c r="Q209" s="1592">
        <f t="shared" si="29"/>
        <v>5</v>
      </c>
    </row>
    <row r="210" spans="1:17">
      <c r="A210" s="1591" t="s">
        <v>987</v>
      </c>
      <c r="B210" s="1591" t="s">
        <v>958</v>
      </c>
      <c r="C210" s="1591">
        <v>4</v>
      </c>
      <c r="D210" s="1591">
        <v>0</v>
      </c>
      <c r="E210" s="1591">
        <v>0</v>
      </c>
      <c r="F210" s="1591">
        <v>0</v>
      </c>
      <c r="G210" s="1591">
        <v>0</v>
      </c>
      <c r="H210" s="1591">
        <v>0</v>
      </c>
      <c r="I210" s="1591">
        <v>0</v>
      </c>
      <c r="J210" s="1591">
        <v>0</v>
      </c>
      <c r="K210" s="1591">
        <v>0</v>
      </c>
      <c r="L210" s="1591">
        <v>0</v>
      </c>
      <c r="M210" s="1591">
        <v>0</v>
      </c>
      <c r="N210" s="1591">
        <v>0</v>
      </c>
      <c r="O210" s="1591">
        <v>0</v>
      </c>
      <c r="P210" s="1591">
        <v>0</v>
      </c>
      <c r="Q210" s="1592">
        <f t="shared" si="29"/>
        <v>4</v>
      </c>
    </row>
    <row r="211" spans="1:17">
      <c r="A211" s="1591" t="s">
        <v>988</v>
      </c>
      <c r="B211" s="1591" t="s">
        <v>958</v>
      </c>
      <c r="C211" s="1591">
        <v>0</v>
      </c>
      <c r="D211" s="1591">
        <v>9</v>
      </c>
      <c r="E211" s="1591">
        <v>0</v>
      </c>
      <c r="F211" s="1591">
        <v>0</v>
      </c>
      <c r="G211" s="1591">
        <v>0</v>
      </c>
      <c r="H211" s="1591">
        <v>0</v>
      </c>
      <c r="I211" s="1591">
        <v>0</v>
      </c>
      <c r="J211" s="1591">
        <v>0</v>
      </c>
      <c r="K211" s="1591">
        <v>0</v>
      </c>
      <c r="L211" s="1591">
        <v>0</v>
      </c>
      <c r="M211" s="1591">
        <v>0</v>
      </c>
      <c r="N211" s="1591">
        <v>0</v>
      </c>
      <c r="O211" s="1591">
        <v>0</v>
      </c>
      <c r="P211" s="1591">
        <v>0</v>
      </c>
      <c r="Q211" s="1592">
        <f t="shared" si="29"/>
        <v>9</v>
      </c>
    </row>
    <row r="212" spans="1:17">
      <c r="A212" s="1592"/>
      <c r="B212" s="1591" t="s">
        <v>958</v>
      </c>
      <c r="C212" s="1592">
        <f>SUM(C200:C211)</f>
        <v>23</v>
      </c>
      <c r="D212" s="1592">
        <f t="shared" ref="D212:O212" si="30">SUM(D200:D211)</f>
        <v>40</v>
      </c>
      <c r="E212" s="1592">
        <f t="shared" si="30"/>
        <v>0</v>
      </c>
      <c r="F212" s="1592">
        <f t="shared" si="30"/>
        <v>0</v>
      </c>
      <c r="G212" s="1592">
        <f t="shared" si="30"/>
        <v>0</v>
      </c>
      <c r="H212" s="1592">
        <f t="shared" si="30"/>
        <v>0</v>
      </c>
      <c r="I212" s="1592">
        <f t="shared" si="30"/>
        <v>0</v>
      </c>
      <c r="J212" s="1592">
        <f t="shared" si="30"/>
        <v>0</v>
      </c>
      <c r="K212" s="1592">
        <f t="shared" si="30"/>
        <v>0</v>
      </c>
      <c r="L212" s="1592">
        <f t="shared" si="30"/>
        <v>0</v>
      </c>
      <c r="M212" s="1592">
        <f t="shared" si="30"/>
        <v>0</v>
      </c>
      <c r="N212" s="1592">
        <f t="shared" si="30"/>
        <v>0</v>
      </c>
      <c r="O212" s="1592">
        <f t="shared" si="30"/>
        <v>0</v>
      </c>
      <c r="P212" s="1592">
        <f>SUM(P200:P211)</f>
        <v>0</v>
      </c>
      <c r="Q212" s="1592">
        <f>SUM(Q200:Q211)</f>
        <v>63</v>
      </c>
    </row>
    <row r="213" spans="1:17" ht="15.75" thickBot="1">
      <c r="A213" s="1787"/>
      <c r="B213" s="1788"/>
      <c r="C213" s="1787">
        <f>+C212+C197+C182+C167</f>
        <v>51</v>
      </c>
      <c r="D213" s="1787">
        <f t="shared" ref="D213:P213" si="31">+D212+D197+D182+D167</f>
        <v>395</v>
      </c>
      <c r="E213" s="1787">
        <f t="shared" si="31"/>
        <v>169</v>
      </c>
      <c r="F213" s="1787">
        <f t="shared" si="31"/>
        <v>70</v>
      </c>
      <c r="G213" s="1787">
        <f t="shared" si="31"/>
        <v>0</v>
      </c>
      <c r="H213" s="1787">
        <f t="shared" si="31"/>
        <v>0</v>
      </c>
      <c r="I213" s="1787">
        <f t="shared" si="31"/>
        <v>0</v>
      </c>
      <c r="J213" s="1787">
        <f t="shared" si="31"/>
        <v>0</v>
      </c>
      <c r="K213" s="1787">
        <f t="shared" si="31"/>
        <v>0</v>
      </c>
      <c r="L213" s="1787">
        <f t="shared" si="31"/>
        <v>0</v>
      </c>
      <c r="M213" s="1787">
        <f t="shared" si="31"/>
        <v>0</v>
      </c>
      <c r="N213" s="1787">
        <f t="shared" si="31"/>
        <v>0</v>
      </c>
      <c r="O213" s="1787">
        <f t="shared" si="31"/>
        <v>0</v>
      </c>
      <c r="P213" s="1787">
        <f t="shared" si="31"/>
        <v>0</v>
      </c>
      <c r="Q213" s="1787">
        <f>+Q212+Q197+Q182+Q167</f>
        <v>685</v>
      </c>
    </row>
    <row r="214" spans="1:17" s="1594" customFormat="1" ht="15.75" thickTop="1">
      <c r="A214" s="1594" t="s">
        <v>996</v>
      </c>
    </row>
    <row r="215" spans="1:17">
      <c r="A215" s="1592" t="s">
        <v>976</v>
      </c>
    </row>
    <row r="216" spans="1:17">
      <c r="A216" s="1591" t="s">
        <v>977</v>
      </c>
      <c r="B216" s="1591" t="s">
        <v>958</v>
      </c>
      <c r="C216" s="1591">
        <v>25</v>
      </c>
      <c r="D216" s="1591">
        <v>54</v>
      </c>
      <c r="E216" s="1591">
        <v>65</v>
      </c>
      <c r="F216" s="1591">
        <v>56</v>
      </c>
      <c r="G216" s="1591">
        <v>25</v>
      </c>
      <c r="H216" s="1591">
        <v>0</v>
      </c>
      <c r="I216" s="1591">
        <v>33</v>
      </c>
      <c r="J216" s="1591">
        <v>36</v>
      </c>
      <c r="K216" s="1591">
        <v>0</v>
      </c>
      <c r="L216" s="1591">
        <v>0</v>
      </c>
      <c r="M216" s="1591">
        <v>168</v>
      </c>
      <c r="N216" s="1591">
        <v>262</v>
      </c>
      <c r="O216" s="1591">
        <v>0</v>
      </c>
      <c r="P216" s="1591">
        <v>2554</v>
      </c>
      <c r="Q216" s="1592">
        <f>SUM(C216:P216)</f>
        <v>3278</v>
      </c>
    </row>
    <row r="217" spans="1:17">
      <c r="A217" s="1591" t="s">
        <v>978</v>
      </c>
      <c r="B217" s="1591" t="s">
        <v>958</v>
      </c>
      <c r="C217" s="1591">
        <v>12</v>
      </c>
      <c r="D217" s="1591">
        <v>73</v>
      </c>
      <c r="E217" s="1591">
        <v>38</v>
      </c>
      <c r="F217" s="1591">
        <v>20</v>
      </c>
      <c r="G217" s="1591">
        <v>23</v>
      </c>
      <c r="H217" s="1591">
        <v>86</v>
      </c>
      <c r="I217" s="1591">
        <v>32</v>
      </c>
      <c r="J217" s="1591">
        <v>0</v>
      </c>
      <c r="K217" s="1591">
        <v>0</v>
      </c>
      <c r="L217" s="1591">
        <v>50</v>
      </c>
      <c r="M217" s="1591">
        <v>125</v>
      </c>
      <c r="N217" s="1591">
        <v>150</v>
      </c>
      <c r="O217" s="1591">
        <v>275</v>
      </c>
      <c r="P217" s="1591">
        <v>4070</v>
      </c>
      <c r="Q217" s="1592">
        <f>SUM(C217:P217)</f>
        <v>4954</v>
      </c>
    </row>
    <row r="218" spans="1:17">
      <c r="A218" s="1591" t="s">
        <v>979</v>
      </c>
      <c r="B218" s="1591" t="s">
        <v>958</v>
      </c>
      <c r="C218" s="1591">
        <v>24</v>
      </c>
      <c r="D218" s="1591">
        <v>62</v>
      </c>
      <c r="E218" s="1591">
        <v>12</v>
      </c>
      <c r="F218" s="1591">
        <v>72</v>
      </c>
      <c r="G218" s="1591">
        <v>25</v>
      </c>
      <c r="H218" s="1591">
        <v>0</v>
      </c>
      <c r="I218" s="1591">
        <v>0</v>
      </c>
      <c r="J218" s="1591">
        <v>37</v>
      </c>
      <c r="K218" s="1591">
        <v>41</v>
      </c>
      <c r="L218" s="1591">
        <v>49</v>
      </c>
      <c r="M218" s="1591">
        <v>325</v>
      </c>
      <c r="N218" s="1591">
        <v>0</v>
      </c>
      <c r="O218" s="1591">
        <v>0</v>
      </c>
      <c r="P218" s="1591">
        <v>2157</v>
      </c>
      <c r="Q218" s="1592">
        <f>SUM(C218:P218)</f>
        <v>2804</v>
      </c>
    </row>
    <row r="219" spans="1:17">
      <c r="A219" s="1591" t="s">
        <v>980</v>
      </c>
      <c r="B219" s="1591" t="s">
        <v>958</v>
      </c>
      <c r="C219" s="1591">
        <v>16</v>
      </c>
      <c r="D219" s="1591">
        <v>60</v>
      </c>
      <c r="E219" s="1591">
        <v>39</v>
      </c>
      <c r="F219" s="1591">
        <v>56</v>
      </c>
      <c r="G219" s="1591">
        <v>44</v>
      </c>
      <c r="H219" s="1591">
        <v>30</v>
      </c>
      <c r="I219" s="1591">
        <v>0</v>
      </c>
      <c r="J219" s="1591">
        <v>37</v>
      </c>
      <c r="K219" s="1591">
        <v>88</v>
      </c>
      <c r="L219" s="1591">
        <v>0</v>
      </c>
      <c r="M219" s="1591">
        <v>257</v>
      </c>
      <c r="N219" s="1591">
        <v>0</v>
      </c>
      <c r="O219" s="1591">
        <v>0</v>
      </c>
      <c r="P219" s="1591">
        <v>1552</v>
      </c>
      <c r="Q219" s="1592">
        <f>SUM(C219:P219)</f>
        <v>2179</v>
      </c>
    </row>
    <row r="220" spans="1:17">
      <c r="A220" s="1591" t="s">
        <v>981</v>
      </c>
      <c r="B220" s="1591" t="s">
        <v>958</v>
      </c>
      <c r="C220" s="1591">
        <v>24</v>
      </c>
      <c r="D220" s="1591">
        <v>55</v>
      </c>
      <c r="E220" s="1591">
        <v>26</v>
      </c>
      <c r="F220" s="1591">
        <v>70</v>
      </c>
      <c r="G220" s="1591">
        <v>21</v>
      </c>
      <c r="H220" s="1591">
        <v>0</v>
      </c>
      <c r="I220" s="1591">
        <v>0</v>
      </c>
      <c r="J220" s="1591">
        <v>0</v>
      </c>
      <c r="K220" s="1591">
        <v>43</v>
      </c>
      <c r="L220" s="1591">
        <v>50</v>
      </c>
      <c r="M220" s="1591">
        <v>216</v>
      </c>
      <c r="N220" s="1591">
        <v>115</v>
      </c>
      <c r="O220" s="1591">
        <v>277</v>
      </c>
      <c r="P220" s="1591">
        <v>1176</v>
      </c>
      <c r="Q220" s="1592">
        <f t="shared" ref="Q220:Q226" si="32">SUM(C220:P220)</f>
        <v>2073</v>
      </c>
    </row>
    <row r="221" spans="1:17">
      <c r="A221" s="1591" t="s">
        <v>982</v>
      </c>
      <c r="B221" s="1591" t="s">
        <v>958</v>
      </c>
      <c r="C221" s="1591">
        <v>7</v>
      </c>
      <c r="D221" s="1591">
        <v>56</v>
      </c>
      <c r="E221" s="1591">
        <v>23</v>
      </c>
      <c r="F221" s="1591">
        <v>55</v>
      </c>
      <c r="G221" s="1591">
        <v>44</v>
      </c>
      <c r="H221" s="1591">
        <v>53</v>
      </c>
      <c r="I221" s="1591">
        <v>34</v>
      </c>
      <c r="J221" s="1591">
        <v>0</v>
      </c>
      <c r="K221" s="1591">
        <v>0</v>
      </c>
      <c r="L221" s="1591">
        <v>47</v>
      </c>
      <c r="M221" s="1591">
        <v>193</v>
      </c>
      <c r="N221" s="1591">
        <v>261</v>
      </c>
      <c r="O221" s="1591">
        <v>0</v>
      </c>
      <c r="P221" s="1591">
        <v>3091</v>
      </c>
      <c r="Q221" s="1592">
        <f t="shared" si="32"/>
        <v>3864</v>
      </c>
    </row>
    <row r="222" spans="1:17">
      <c r="A222" s="1591" t="s">
        <v>983</v>
      </c>
      <c r="B222" s="1591" t="s">
        <v>958</v>
      </c>
      <c r="C222" s="1591">
        <v>15</v>
      </c>
      <c r="D222" s="1591">
        <v>45</v>
      </c>
      <c r="E222" s="1591">
        <v>36</v>
      </c>
      <c r="F222" s="1591">
        <v>40</v>
      </c>
      <c r="G222" s="1591">
        <v>44</v>
      </c>
      <c r="H222" s="1591">
        <v>0</v>
      </c>
      <c r="I222" s="1591">
        <v>0</v>
      </c>
      <c r="J222" s="1591">
        <v>0</v>
      </c>
      <c r="K222" s="1591">
        <v>45</v>
      </c>
      <c r="L222" s="1591">
        <v>0</v>
      </c>
      <c r="M222" s="1591">
        <v>104</v>
      </c>
      <c r="N222" s="1591">
        <v>423</v>
      </c>
      <c r="O222" s="1591">
        <v>0</v>
      </c>
      <c r="P222" s="1591">
        <v>2651</v>
      </c>
      <c r="Q222" s="1592">
        <f t="shared" si="32"/>
        <v>3403</v>
      </c>
    </row>
    <row r="223" spans="1:17">
      <c r="A223" s="1591" t="s">
        <v>984</v>
      </c>
      <c r="B223" s="1591" t="s">
        <v>958</v>
      </c>
      <c r="C223" s="1591">
        <v>21</v>
      </c>
      <c r="D223" s="1591">
        <v>66</v>
      </c>
      <c r="E223" s="1591">
        <v>12</v>
      </c>
      <c r="F223" s="1591">
        <v>58</v>
      </c>
      <c r="G223" s="1591">
        <v>0</v>
      </c>
      <c r="H223" s="1591">
        <v>28</v>
      </c>
      <c r="I223" s="1591">
        <v>33</v>
      </c>
      <c r="J223" s="1591">
        <v>0</v>
      </c>
      <c r="K223" s="1591">
        <v>0</v>
      </c>
      <c r="L223" s="1591">
        <v>141</v>
      </c>
      <c r="M223" s="1591">
        <v>73</v>
      </c>
      <c r="N223" s="1591">
        <v>240</v>
      </c>
      <c r="O223" s="1591">
        <v>0</v>
      </c>
      <c r="P223" s="1591">
        <v>4697</v>
      </c>
      <c r="Q223" s="1592">
        <f t="shared" si="32"/>
        <v>5369</v>
      </c>
    </row>
    <row r="224" spans="1:17">
      <c r="A224" s="1591" t="s">
        <v>985</v>
      </c>
      <c r="B224" s="1591" t="s">
        <v>958</v>
      </c>
      <c r="C224" s="1591">
        <v>17</v>
      </c>
      <c r="D224" s="1591">
        <v>58</v>
      </c>
      <c r="E224" s="1591">
        <v>11</v>
      </c>
      <c r="F224" s="1591">
        <v>60</v>
      </c>
      <c r="G224" s="1591">
        <v>22</v>
      </c>
      <c r="H224" s="1591">
        <v>52</v>
      </c>
      <c r="I224" s="1591">
        <v>33</v>
      </c>
      <c r="J224" s="1591">
        <v>73</v>
      </c>
      <c r="K224" s="1591">
        <v>87</v>
      </c>
      <c r="L224" s="1591">
        <v>0</v>
      </c>
      <c r="M224" s="1591">
        <v>80</v>
      </c>
      <c r="N224" s="1591">
        <v>120</v>
      </c>
      <c r="O224" s="1591">
        <v>271</v>
      </c>
      <c r="P224" s="1591">
        <v>3170</v>
      </c>
      <c r="Q224" s="1592">
        <f t="shared" si="32"/>
        <v>4054</v>
      </c>
    </row>
    <row r="225" spans="1:17">
      <c r="A225" s="1591" t="s">
        <v>986</v>
      </c>
      <c r="B225" s="1591" t="s">
        <v>958</v>
      </c>
      <c r="C225" s="1591">
        <v>16</v>
      </c>
      <c r="D225" s="1591">
        <v>55</v>
      </c>
      <c r="E225" s="1591">
        <v>24</v>
      </c>
      <c r="F225" s="1591">
        <v>40</v>
      </c>
      <c r="G225" s="1591">
        <v>23</v>
      </c>
      <c r="H225" s="1591">
        <v>56</v>
      </c>
      <c r="I225" s="1591">
        <v>31</v>
      </c>
      <c r="J225" s="1591">
        <v>72</v>
      </c>
      <c r="K225" s="1591">
        <v>42</v>
      </c>
      <c r="L225" s="1591">
        <v>0</v>
      </c>
      <c r="M225" s="1591">
        <v>159</v>
      </c>
      <c r="N225" s="1591">
        <v>222</v>
      </c>
      <c r="O225" s="1591">
        <v>257</v>
      </c>
      <c r="P225" s="1591">
        <v>3765</v>
      </c>
      <c r="Q225" s="1592">
        <f t="shared" si="32"/>
        <v>4762</v>
      </c>
    </row>
    <row r="226" spans="1:17">
      <c r="A226" s="1591" t="s">
        <v>987</v>
      </c>
      <c r="B226" s="1591" t="s">
        <v>958</v>
      </c>
      <c r="C226" s="1591">
        <v>13</v>
      </c>
      <c r="D226" s="1591">
        <v>59</v>
      </c>
      <c r="E226" s="1591">
        <v>12</v>
      </c>
      <c r="F226" s="1591">
        <v>40</v>
      </c>
      <c r="G226" s="1591">
        <v>0</v>
      </c>
      <c r="H226" s="1591">
        <v>89</v>
      </c>
      <c r="I226" s="1591">
        <v>0</v>
      </c>
      <c r="J226" s="1591">
        <v>0</v>
      </c>
      <c r="K226" s="1591">
        <v>43</v>
      </c>
      <c r="L226" s="1591">
        <v>48</v>
      </c>
      <c r="M226" s="1591">
        <v>210</v>
      </c>
      <c r="N226" s="1591">
        <v>432</v>
      </c>
      <c r="O226" s="1591">
        <v>224</v>
      </c>
      <c r="P226" s="1591">
        <v>3377</v>
      </c>
      <c r="Q226" s="1592">
        <f t="shared" si="32"/>
        <v>4547</v>
      </c>
    </row>
    <row r="227" spans="1:17">
      <c r="A227" s="1591" t="s">
        <v>988</v>
      </c>
      <c r="B227" s="1591" t="s">
        <v>958</v>
      </c>
      <c r="C227" s="1591">
        <v>3</v>
      </c>
      <c r="D227" s="1591">
        <v>51</v>
      </c>
      <c r="E227" s="1591">
        <v>25</v>
      </c>
      <c r="F227" s="1591">
        <v>56</v>
      </c>
      <c r="G227" s="1591">
        <v>90</v>
      </c>
      <c r="H227" s="1591">
        <v>0</v>
      </c>
      <c r="I227" s="1591">
        <v>66</v>
      </c>
      <c r="J227" s="1591">
        <v>39</v>
      </c>
      <c r="K227" s="1591">
        <v>0</v>
      </c>
      <c r="L227" s="1591">
        <v>50</v>
      </c>
      <c r="M227" s="1591">
        <v>140</v>
      </c>
      <c r="N227" s="1591">
        <v>132</v>
      </c>
      <c r="O227" s="1591">
        <v>280</v>
      </c>
      <c r="P227" s="1591">
        <v>3057</v>
      </c>
      <c r="Q227" s="1592">
        <f>SUM(C227:P227)</f>
        <v>3989</v>
      </c>
    </row>
    <row r="228" spans="1:17" s="1592" customFormat="1">
      <c r="B228" s="1591" t="s">
        <v>958</v>
      </c>
      <c r="C228" s="1592">
        <f>SUM(C216:C227)</f>
        <v>193</v>
      </c>
      <c r="D228" s="1592">
        <f t="shared" ref="D228:P228" si="33">SUM(D216:D227)</f>
        <v>694</v>
      </c>
      <c r="E228" s="1592">
        <f t="shared" si="33"/>
        <v>323</v>
      </c>
      <c r="F228" s="1592">
        <f t="shared" si="33"/>
        <v>623</v>
      </c>
      <c r="G228" s="1592">
        <f t="shared" si="33"/>
        <v>361</v>
      </c>
      <c r="H228" s="1592">
        <f t="shared" si="33"/>
        <v>394</v>
      </c>
      <c r="I228" s="1592">
        <f t="shared" si="33"/>
        <v>262</v>
      </c>
      <c r="J228" s="1592">
        <f>SUM(J216:J227)</f>
        <v>294</v>
      </c>
      <c r="K228" s="1592">
        <f t="shared" si="33"/>
        <v>389</v>
      </c>
      <c r="L228" s="1592">
        <f t="shared" si="33"/>
        <v>435</v>
      </c>
      <c r="M228" s="1592">
        <f t="shared" si="33"/>
        <v>2050</v>
      </c>
      <c r="N228" s="1592">
        <f t="shared" si="33"/>
        <v>2357</v>
      </c>
      <c r="O228" s="1592">
        <f t="shared" si="33"/>
        <v>1584</v>
      </c>
      <c r="P228" s="1592">
        <f t="shared" si="33"/>
        <v>35317</v>
      </c>
      <c r="Q228" s="1592">
        <f>SUM(Q216:Q227)</f>
        <v>45276</v>
      </c>
    </row>
    <row r="230" spans="1:17">
      <c r="A230" s="1592" t="s">
        <v>989</v>
      </c>
    </row>
    <row r="231" spans="1:17">
      <c r="A231" s="1591" t="s">
        <v>977</v>
      </c>
      <c r="B231" s="1591" t="s">
        <v>958</v>
      </c>
      <c r="C231" s="1591">
        <v>0</v>
      </c>
      <c r="D231" s="1591">
        <v>6</v>
      </c>
      <c r="E231" s="1591">
        <v>0</v>
      </c>
      <c r="F231" s="1591">
        <v>18</v>
      </c>
      <c r="G231" s="1591">
        <v>70</v>
      </c>
      <c r="H231" s="1591">
        <v>29</v>
      </c>
      <c r="I231" s="1591">
        <v>65</v>
      </c>
      <c r="J231" s="1591">
        <v>0</v>
      </c>
      <c r="L231" s="1591">
        <v>94</v>
      </c>
      <c r="M231" s="1591">
        <v>0</v>
      </c>
      <c r="N231" s="1591">
        <v>0</v>
      </c>
      <c r="O231" s="1591">
        <v>201</v>
      </c>
      <c r="P231" s="1591">
        <v>330</v>
      </c>
      <c r="Q231" s="1592">
        <f t="shared" ref="Q231:Q232" si="34">SUM(C231:P231)</f>
        <v>813</v>
      </c>
    </row>
    <row r="232" spans="1:17">
      <c r="A232" s="1591" t="s">
        <v>978</v>
      </c>
      <c r="B232" s="1591" t="s">
        <v>958</v>
      </c>
      <c r="C232" s="1591">
        <v>0</v>
      </c>
      <c r="D232" s="1591">
        <v>6</v>
      </c>
      <c r="E232" s="1591">
        <v>15</v>
      </c>
      <c r="F232" s="1591">
        <v>16</v>
      </c>
      <c r="G232" s="1591">
        <v>0</v>
      </c>
      <c r="H232" s="1591">
        <v>30</v>
      </c>
      <c r="I232" s="1591">
        <v>65</v>
      </c>
      <c r="J232" s="1591">
        <v>38</v>
      </c>
      <c r="K232" s="1591">
        <v>84</v>
      </c>
      <c r="L232" s="1591">
        <v>0</v>
      </c>
      <c r="M232" s="1591">
        <v>60</v>
      </c>
      <c r="N232" s="1591">
        <v>114</v>
      </c>
      <c r="O232" s="1591">
        <v>0</v>
      </c>
      <c r="P232" s="1591">
        <v>786</v>
      </c>
      <c r="Q232" s="1592">
        <f t="shared" si="34"/>
        <v>1214</v>
      </c>
    </row>
    <row r="233" spans="1:17">
      <c r="A233" s="1591" t="s">
        <v>979</v>
      </c>
      <c r="B233" s="1591" t="s">
        <v>958</v>
      </c>
      <c r="C233" s="1591">
        <v>1</v>
      </c>
      <c r="D233" s="1591">
        <v>10</v>
      </c>
      <c r="E233" s="1591">
        <v>15</v>
      </c>
      <c r="F233" s="1591">
        <v>18</v>
      </c>
      <c r="G233" s="1591">
        <v>0</v>
      </c>
      <c r="H233" s="1591">
        <v>0</v>
      </c>
      <c r="I233" s="1591">
        <v>0</v>
      </c>
      <c r="J233" s="1591">
        <v>40</v>
      </c>
      <c r="K233" s="1591">
        <v>43</v>
      </c>
      <c r="L233" s="1591">
        <v>46</v>
      </c>
      <c r="M233" s="1591">
        <v>198</v>
      </c>
      <c r="N233" s="1591">
        <v>256</v>
      </c>
      <c r="O233" s="1591">
        <v>0</v>
      </c>
      <c r="P233" s="1591">
        <v>1126</v>
      </c>
      <c r="Q233" s="1592">
        <f>SUM(C233:P233)</f>
        <v>1753</v>
      </c>
    </row>
    <row r="234" spans="1:17">
      <c r="A234" s="1591" t="s">
        <v>980</v>
      </c>
      <c r="B234" s="1591" t="s">
        <v>958</v>
      </c>
      <c r="C234" s="1591">
        <v>2</v>
      </c>
      <c r="D234" s="1591">
        <v>0</v>
      </c>
      <c r="E234" s="1591">
        <v>14</v>
      </c>
      <c r="F234" s="1591">
        <v>0</v>
      </c>
      <c r="G234" s="1591">
        <v>68</v>
      </c>
      <c r="H234" s="1591">
        <v>0</v>
      </c>
      <c r="I234" s="1591">
        <v>0</v>
      </c>
      <c r="J234" s="1591">
        <v>0</v>
      </c>
      <c r="K234" s="1591">
        <v>0</v>
      </c>
      <c r="L234" s="1591">
        <v>47</v>
      </c>
      <c r="M234" s="1591">
        <v>256</v>
      </c>
      <c r="N234" s="1591">
        <v>116</v>
      </c>
      <c r="O234" s="1591">
        <v>0</v>
      </c>
      <c r="P234" s="1591">
        <v>482</v>
      </c>
      <c r="Q234" s="1592">
        <f>SUM(C234:P234)</f>
        <v>985</v>
      </c>
    </row>
    <row r="235" spans="1:17">
      <c r="A235" s="1591" t="s">
        <v>981</v>
      </c>
      <c r="B235" s="1591" t="s">
        <v>958</v>
      </c>
      <c r="C235" s="1591">
        <v>3</v>
      </c>
      <c r="D235" s="1591">
        <v>0</v>
      </c>
      <c r="E235" s="1591">
        <v>0</v>
      </c>
      <c r="F235" s="1591">
        <v>0</v>
      </c>
      <c r="G235" s="1591">
        <v>47</v>
      </c>
      <c r="H235" s="1591">
        <v>28</v>
      </c>
      <c r="I235" s="1591">
        <v>0</v>
      </c>
      <c r="J235" s="1591">
        <v>40</v>
      </c>
      <c r="K235" s="1591">
        <v>0</v>
      </c>
      <c r="L235" s="1591">
        <v>47</v>
      </c>
      <c r="M235" s="1591">
        <v>212</v>
      </c>
      <c r="N235" s="1591">
        <v>307</v>
      </c>
      <c r="O235" s="1591">
        <v>0</v>
      </c>
      <c r="P235" s="1591">
        <v>773</v>
      </c>
      <c r="Q235" s="1592">
        <f t="shared" ref="Q235:Q242" si="35">SUM(C235:P235)</f>
        <v>1457</v>
      </c>
    </row>
    <row r="236" spans="1:17">
      <c r="A236" s="1591" t="s">
        <v>982</v>
      </c>
      <c r="B236" s="1591" t="s">
        <v>958</v>
      </c>
      <c r="C236" s="1591">
        <v>0</v>
      </c>
      <c r="D236" s="1591">
        <v>12</v>
      </c>
      <c r="E236" s="1591">
        <v>12</v>
      </c>
      <c r="F236" s="1591">
        <v>17</v>
      </c>
      <c r="G236" s="1591">
        <v>23</v>
      </c>
      <c r="H236" s="1591">
        <v>0</v>
      </c>
      <c r="I236" s="1591">
        <v>0</v>
      </c>
      <c r="J236" s="1591">
        <v>0</v>
      </c>
      <c r="K236" s="1591">
        <v>45</v>
      </c>
      <c r="L236" s="1591">
        <v>46</v>
      </c>
      <c r="M236" s="1591">
        <v>296</v>
      </c>
      <c r="N236" s="1591">
        <v>178</v>
      </c>
      <c r="O236" s="1591">
        <v>0</v>
      </c>
      <c r="P236" s="1591">
        <v>663</v>
      </c>
      <c r="Q236" s="1592">
        <f t="shared" si="35"/>
        <v>1292</v>
      </c>
    </row>
    <row r="237" spans="1:17">
      <c r="A237" s="1591" t="s">
        <v>983</v>
      </c>
      <c r="B237" s="1591" t="s">
        <v>958</v>
      </c>
      <c r="C237" s="1591">
        <v>1</v>
      </c>
      <c r="D237" s="1591">
        <v>6</v>
      </c>
      <c r="E237" s="1591">
        <v>12</v>
      </c>
      <c r="F237" s="1591">
        <v>16</v>
      </c>
      <c r="G237" s="1591">
        <v>0</v>
      </c>
      <c r="H237" s="1591">
        <v>28</v>
      </c>
      <c r="I237" s="1591">
        <v>0</v>
      </c>
      <c r="J237" s="1591">
        <v>0</v>
      </c>
      <c r="K237" s="1591">
        <v>130</v>
      </c>
      <c r="L237" s="1591">
        <v>99</v>
      </c>
      <c r="M237" s="1591">
        <v>136</v>
      </c>
      <c r="N237" s="1591">
        <v>0</v>
      </c>
      <c r="O237" s="1591">
        <v>0</v>
      </c>
      <c r="P237" s="1591">
        <v>325</v>
      </c>
      <c r="Q237" s="1592">
        <f t="shared" si="35"/>
        <v>753</v>
      </c>
    </row>
    <row r="238" spans="1:17">
      <c r="A238" s="1591" t="s">
        <v>984</v>
      </c>
      <c r="B238" s="1591" t="s">
        <v>958</v>
      </c>
      <c r="C238" s="1591">
        <v>1</v>
      </c>
      <c r="D238" s="1591">
        <v>6</v>
      </c>
      <c r="E238" s="1591">
        <v>24</v>
      </c>
      <c r="F238" s="1591">
        <v>20</v>
      </c>
      <c r="G238" s="1591">
        <v>0</v>
      </c>
      <c r="H238" s="1591">
        <v>30</v>
      </c>
      <c r="I238" s="1591">
        <v>0</v>
      </c>
      <c r="J238" s="1591">
        <v>36</v>
      </c>
      <c r="K238" s="1591">
        <v>0</v>
      </c>
      <c r="L238" s="1591">
        <v>49</v>
      </c>
      <c r="M238" s="1591">
        <v>177</v>
      </c>
      <c r="N238" s="1591">
        <v>139</v>
      </c>
      <c r="O238" s="1591">
        <v>0</v>
      </c>
      <c r="P238" s="1591">
        <v>1026</v>
      </c>
      <c r="Q238" s="1592">
        <f t="shared" si="35"/>
        <v>1508</v>
      </c>
    </row>
    <row r="239" spans="1:17">
      <c r="A239" s="1591" t="s">
        <v>985</v>
      </c>
      <c r="B239" s="1591" t="s">
        <v>958</v>
      </c>
      <c r="C239" s="1591">
        <v>2</v>
      </c>
      <c r="D239" s="1591">
        <v>0</v>
      </c>
      <c r="E239" s="1591">
        <v>25</v>
      </c>
      <c r="F239" s="1591">
        <v>19</v>
      </c>
      <c r="G239" s="1591">
        <v>49</v>
      </c>
      <c r="H239" s="1591">
        <v>0</v>
      </c>
      <c r="J239" s="1591">
        <v>76</v>
      </c>
      <c r="K239" s="1591">
        <v>42</v>
      </c>
      <c r="L239" s="1591">
        <v>46</v>
      </c>
      <c r="M239" s="1591">
        <v>0</v>
      </c>
      <c r="N239" s="1591">
        <v>104</v>
      </c>
      <c r="O239" s="1591">
        <v>0</v>
      </c>
      <c r="P239" s="1591">
        <v>1026</v>
      </c>
      <c r="Q239" s="1592">
        <f t="shared" si="35"/>
        <v>1389</v>
      </c>
    </row>
    <row r="240" spans="1:17">
      <c r="A240" s="1591" t="s">
        <v>986</v>
      </c>
      <c r="B240" s="1591" t="s">
        <v>958</v>
      </c>
      <c r="C240" s="1591">
        <v>0</v>
      </c>
      <c r="D240" s="1591">
        <v>6</v>
      </c>
      <c r="E240" s="1591">
        <v>14</v>
      </c>
      <c r="F240" s="1591">
        <v>54</v>
      </c>
      <c r="G240" s="1591">
        <v>28</v>
      </c>
      <c r="H240" s="1591">
        <v>0</v>
      </c>
      <c r="I240" s="1591">
        <v>0</v>
      </c>
      <c r="J240" s="1591">
        <v>0</v>
      </c>
      <c r="K240" s="1591">
        <v>43</v>
      </c>
      <c r="L240" s="1591">
        <v>0</v>
      </c>
      <c r="M240" s="1591">
        <v>297</v>
      </c>
      <c r="N240" s="1591">
        <v>114</v>
      </c>
      <c r="O240" s="1591">
        <v>0</v>
      </c>
      <c r="P240" s="1591">
        <v>1026</v>
      </c>
      <c r="Q240" s="1592">
        <f t="shared" si="35"/>
        <v>1582</v>
      </c>
    </row>
    <row r="241" spans="1:17">
      <c r="A241" s="1591" t="s">
        <v>987</v>
      </c>
      <c r="B241" s="1591" t="s">
        <v>958</v>
      </c>
      <c r="C241" s="1591">
        <v>1</v>
      </c>
      <c r="D241" s="1591">
        <v>0</v>
      </c>
      <c r="E241" s="1591">
        <v>0</v>
      </c>
      <c r="F241" s="1591">
        <v>54</v>
      </c>
      <c r="G241" s="1591">
        <v>24</v>
      </c>
      <c r="H241" s="1591">
        <v>26</v>
      </c>
      <c r="I241" s="1591">
        <v>34</v>
      </c>
      <c r="J241" s="1591">
        <v>39</v>
      </c>
      <c r="K241" s="1591">
        <v>44</v>
      </c>
      <c r="L241" s="1591">
        <v>0</v>
      </c>
      <c r="M241" s="1591">
        <v>78</v>
      </c>
      <c r="N241" s="1591">
        <v>121</v>
      </c>
      <c r="O241" s="1591">
        <v>0</v>
      </c>
      <c r="P241" s="1591">
        <v>1385</v>
      </c>
      <c r="Q241" s="1592">
        <f t="shared" si="35"/>
        <v>1806</v>
      </c>
    </row>
    <row r="242" spans="1:17">
      <c r="A242" s="1591" t="s">
        <v>988</v>
      </c>
      <c r="B242" s="1591" t="s">
        <v>958</v>
      </c>
      <c r="C242" s="1591">
        <v>0</v>
      </c>
      <c r="D242" s="1591">
        <v>16</v>
      </c>
      <c r="E242" s="1591">
        <v>0</v>
      </c>
      <c r="F242" s="1591">
        <v>56</v>
      </c>
      <c r="G242" s="1591">
        <v>0</v>
      </c>
      <c r="H242" s="1591">
        <v>0</v>
      </c>
      <c r="I242" s="1591">
        <v>35</v>
      </c>
      <c r="J242" s="1591">
        <v>0</v>
      </c>
      <c r="K242" s="1591">
        <v>41</v>
      </c>
      <c r="L242" s="1591">
        <v>0</v>
      </c>
      <c r="M242" s="1591">
        <v>259</v>
      </c>
      <c r="N242" s="1591">
        <v>0</v>
      </c>
      <c r="O242" s="1591">
        <v>206</v>
      </c>
      <c r="P242" s="1591">
        <v>821</v>
      </c>
      <c r="Q242" s="1592">
        <f t="shared" si="35"/>
        <v>1434</v>
      </c>
    </row>
    <row r="243" spans="1:17" s="1592" customFormat="1">
      <c r="B243" s="1591" t="s">
        <v>958</v>
      </c>
      <c r="C243" s="1592">
        <f>SUM(C231:C242)</f>
        <v>11</v>
      </c>
      <c r="D243" s="1592">
        <f t="shared" ref="D243:O243" si="36">SUM(D231:D242)</f>
        <v>68</v>
      </c>
      <c r="E243" s="1592">
        <f t="shared" si="36"/>
        <v>131</v>
      </c>
      <c r="F243" s="1592">
        <f t="shared" si="36"/>
        <v>288</v>
      </c>
      <c r="G243" s="1592">
        <f t="shared" si="36"/>
        <v>309</v>
      </c>
      <c r="H243" s="1592">
        <f t="shared" si="36"/>
        <v>171</v>
      </c>
      <c r="I243" s="1592">
        <f t="shared" si="36"/>
        <v>199</v>
      </c>
      <c r="J243" s="1592">
        <f t="shared" si="36"/>
        <v>269</v>
      </c>
      <c r="K243" s="1592">
        <f t="shared" si="36"/>
        <v>472</v>
      </c>
      <c r="L243" s="1592">
        <f t="shared" si="36"/>
        <v>474</v>
      </c>
      <c r="M243" s="1592">
        <f t="shared" si="36"/>
        <v>1969</v>
      </c>
      <c r="N243" s="1592">
        <f t="shared" si="36"/>
        <v>1449</v>
      </c>
      <c r="O243" s="1592">
        <f t="shared" si="36"/>
        <v>407</v>
      </c>
      <c r="P243" s="1592">
        <f>SUM(P231:P242)</f>
        <v>9769</v>
      </c>
      <c r="Q243" s="1592">
        <f>SUM(Q231:Q242)</f>
        <v>15986</v>
      </c>
    </row>
    <row r="245" spans="1:17">
      <c r="A245" s="1592" t="s">
        <v>991</v>
      </c>
      <c r="C245" s="1591" t="s">
        <v>960</v>
      </c>
      <c r="D245" s="1591" t="s">
        <v>961</v>
      </c>
      <c r="E245" s="1591" t="s">
        <v>962</v>
      </c>
      <c r="F245" s="1591" t="s">
        <v>963</v>
      </c>
      <c r="G245" s="1591" t="s">
        <v>964</v>
      </c>
      <c r="H245" s="1591" t="s">
        <v>965</v>
      </c>
      <c r="I245" s="1591" t="s">
        <v>966</v>
      </c>
      <c r="J245" s="1591" t="s">
        <v>967</v>
      </c>
      <c r="K245" s="1591" t="s">
        <v>968</v>
      </c>
      <c r="L245" s="1591" t="s">
        <v>969</v>
      </c>
      <c r="M245" s="1591" t="s">
        <v>970</v>
      </c>
      <c r="N245" s="1591" t="s">
        <v>971</v>
      </c>
      <c r="O245" s="1591" t="s">
        <v>972</v>
      </c>
      <c r="P245" s="1591" t="s">
        <v>973</v>
      </c>
      <c r="Q245" s="1592" t="s">
        <v>22</v>
      </c>
    </row>
    <row r="246" spans="1:17">
      <c r="A246" s="1591" t="s">
        <v>977</v>
      </c>
      <c r="B246" s="1591" t="s">
        <v>958</v>
      </c>
      <c r="C246" s="1591">
        <v>0</v>
      </c>
      <c r="D246" s="1591">
        <v>0</v>
      </c>
      <c r="E246" s="1591">
        <v>0</v>
      </c>
      <c r="F246" s="1591">
        <v>0</v>
      </c>
      <c r="G246" s="1591">
        <v>0</v>
      </c>
      <c r="H246" s="1591">
        <v>0</v>
      </c>
      <c r="I246" s="1591">
        <v>0</v>
      </c>
      <c r="J246" s="1591">
        <v>0</v>
      </c>
      <c r="K246" s="1591">
        <v>0</v>
      </c>
      <c r="L246" s="1591">
        <v>0</v>
      </c>
      <c r="M246" s="1591">
        <v>0</v>
      </c>
      <c r="N246" s="1591">
        <v>0</v>
      </c>
      <c r="O246" s="1591">
        <v>0</v>
      </c>
      <c r="P246" s="1591">
        <v>0</v>
      </c>
      <c r="Q246" s="1592">
        <f t="shared" ref="Q246:Q247" si="37">SUM(C246:P246)</f>
        <v>0</v>
      </c>
    </row>
    <row r="247" spans="1:17">
      <c r="A247" s="1591" t="s">
        <v>978</v>
      </c>
      <c r="B247" s="1591" t="s">
        <v>958</v>
      </c>
      <c r="C247" s="1591">
        <v>0</v>
      </c>
      <c r="D247" s="1591">
        <v>0</v>
      </c>
      <c r="E247" s="1591">
        <v>0</v>
      </c>
      <c r="F247" s="1591">
        <v>0</v>
      </c>
      <c r="G247" s="1591">
        <v>0</v>
      </c>
      <c r="H247" s="1591">
        <v>0</v>
      </c>
      <c r="I247" s="1591">
        <v>0</v>
      </c>
      <c r="J247" s="1591">
        <v>0</v>
      </c>
      <c r="K247" s="1591">
        <v>0</v>
      </c>
      <c r="L247" s="1591">
        <v>0</v>
      </c>
      <c r="M247" s="1591">
        <v>0</v>
      </c>
      <c r="N247" s="1591">
        <v>0</v>
      </c>
      <c r="O247" s="1591">
        <v>0</v>
      </c>
      <c r="P247" s="1591">
        <v>0</v>
      </c>
      <c r="Q247" s="1592">
        <f t="shared" si="37"/>
        <v>0</v>
      </c>
    </row>
    <row r="248" spans="1:17">
      <c r="A248" s="1591" t="s">
        <v>979</v>
      </c>
      <c r="B248" s="1591" t="s">
        <v>958</v>
      </c>
      <c r="C248" s="1591">
        <v>0</v>
      </c>
      <c r="D248" s="1591">
        <v>0</v>
      </c>
      <c r="E248" s="1591">
        <v>0</v>
      </c>
      <c r="F248" s="1591">
        <v>0</v>
      </c>
      <c r="G248" s="1591">
        <v>0</v>
      </c>
      <c r="H248" s="1591">
        <v>0</v>
      </c>
      <c r="I248" s="1591">
        <v>0</v>
      </c>
      <c r="J248" s="1591">
        <v>0</v>
      </c>
      <c r="K248" s="1591">
        <v>0</v>
      </c>
      <c r="L248" s="1591">
        <v>0</v>
      </c>
      <c r="M248" s="1591">
        <v>0</v>
      </c>
      <c r="N248" s="1591">
        <v>0</v>
      </c>
      <c r="O248" s="1591">
        <v>0</v>
      </c>
      <c r="P248" s="1591">
        <v>0</v>
      </c>
      <c r="Q248" s="1592">
        <f>SUM(C248:P248)</f>
        <v>0</v>
      </c>
    </row>
    <row r="249" spans="1:17">
      <c r="A249" s="1591" t="s">
        <v>980</v>
      </c>
      <c r="B249" s="1591" t="s">
        <v>958</v>
      </c>
      <c r="C249" s="1591">
        <v>0</v>
      </c>
      <c r="D249" s="1591">
        <v>0</v>
      </c>
      <c r="E249" s="1591">
        <v>0</v>
      </c>
      <c r="F249" s="1591">
        <v>0</v>
      </c>
      <c r="G249" s="1591">
        <v>0</v>
      </c>
      <c r="H249" s="1591">
        <v>0</v>
      </c>
      <c r="I249" s="1591">
        <v>0</v>
      </c>
      <c r="J249" s="1591">
        <v>0</v>
      </c>
      <c r="K249" s="1591">
        <v>0</v>
      </c>
      <c r="L249" s="1591">
        <v>0</v>
      </c>
      <c r="M249" s="1591">
        <v>0</v>
      </c>
      <c r="N249" s="1591">
        <v>0</v>
      </c>
      <c r="O249" s="1591">
        <v>0</v>
      </c>
      <c r="P249" s="1591">
        <v>0</v>
      </c>
      <c r="Q249" s="1592">
        <f>SUM(C249:P249)</f>
        <v>0</v>
      </c>
    </row>
    <row r="250" spans="1:17">
      <c r="A250" s="1591" t="s">
        <v>981</v>
      </c>
      <c r="B250" s="1591" t="s">
        <v>958</v>
      </c>
      <c r="C250" s="1591">
        <v>0</v>
      </c>
      <c r="D250" s="1591">
        <v>0</v>
      </c>
      <c r="E250" s="1591">
        <v>0</v>
      </c>
      <c r="F250" s="1591">
        <v>0</v>
      </c>
      <c r="G250" s="1591">
        <v>0</v>
      </c>
      <c r="H250" s="1591">
        <v>0</v>
      </c>
      <c r="I250" s="1591">
        <v>0</v>
      </c>
      <c r="J250" s="1591">
        <v>0</v>
      </c>
      <c r="K250" s="1591">
        <v>0</v>
      </c>
      <c r="L250" s="1591">
        <v>0</v>
      </c>
      <c r="M250" s="1591">
        <v>0</v>
      </c>
      <c r="N250" s="1591">
        <v>0</v>
      </c>
      <c r="O250" s="1591">
        <v>0</v>
      </c>
      <c r="P250" s="1591">
        <v>0</v>
      </c>
      <c r="Q250" s="1592">
        <f t="shared" ref="Q250:Q257" si="38">SUM(C250:P250)</f>
        <v>0</v>
      </c>
    </row>
    <row r="251" spans="1:17">
      <c r="A251" s="1591" t="s">
        <v>982</v>
      </c>
      <c r="B251" s="1591" t="s">
        <v>958</v>
      </c>
      <c r="C251" s="1591">
        <v>0</v>
      </c>
      <c r="D251" s="1591">
        <v>0</v>
      </c>
      <c r="E251" s="1591">
        <v>0</v>
      </c>
      <c r="F251" s="1591">
        <v>0</v>
      </c>
      <c r="G251" s="1591">
        <v>0</v>
      </c>
      <c r="H251" s="1591">
        <v>0</v>
      </c>
      <c r="I251" s="1591">
        <v>0</v>
      </c>
      <c r="J251" s="1591">
        <v>0</v>
      </c>
      <c r="K251" s="1591">
        <v>0</v>
      </c>
      <c r="L251" s="1591">
        <v>0</v>
      </c>
      <c r="M251" s="1591">
        <v>0</v>
      </c>
      <c r="N251" s="1591">
        <v>0</v>
      </c>
      <c r="O251" s="1591">
        <v>0</v>
      </c>
      <c r="P251" s="1591">
        <v>0</v>
      </c>
      <c r="Q251" s="1592">
        <f t="shared" si="38"/>
        <v>0</v>
      </c>
    </row>
    <row r="252" spans="1:17">
      <c r="A252" s="1591" t="s">
        <v>983</v>
      </c>
      <c r="B252" s="1591" t="s">
        <v>958</v>
      </c>
      <c r="C252" s="1591">
        <v>0</v>
      </c>
      <c r="D252" s="1591">
        <v>0</v>
      </c>
      <c r="E252" s="1591">
        <v>0</v>
      </c>
      <c r="F252" s="1591">
        <v>0</v>
      </c>
      <c r="G252" s="1591">
        <v>0</v>
      </c>
      <c r="H252" s="1591">
        <v>0</v>
      </c>
      <c r="I252" s="1591">
        <v>0</v>
      </c>
      <c r="J252" s="1591">
        <v>0</v>
      </c>
      <c r="K252" s="1591">
        <v>0</v>
      </c>
      <c r="L252" s="1591">
        <v>0</v>
      </c>
      <c r="M252" s="1591">
        <v>0</v>
      </c>
      <c r="N252" s="1591">
        <v>0</v>
      </c>
      <c r="O252" s="1591">
        <v>0</v>
      </c>
      <c r="P252" s="1591">
        <v>0</v>
      </c>
      <c r="Q252" s="1592">
        <f t="shared" si="38"/>
        <v>0</v>
      </c>
    </row>
    <row r="253" spans="1:17">
      <c r="A253" s="1591" t="s">
        <v>984</v>
      </c>
      <c r="B253" s="1591" t="s">
        <v>958</v>
      </c>
      <c r="C253" s="1591">
        <v>0</v>
      </c>
      <c r="D253" s="1591">
        <v>0</v>
      </c>
      <c r="E253" s="1591">
        <v>0</v>
      </c>
      <c r="F253" s="1591">
        <v>0</v>
      </c>
      <c r="G253" s="1591">
        <v>0</v>
      </c>
      <c r="H253" s="1591">
        <v>0</v>
      </c>
      <c r="I253" s="1591">
        <v>0</v>
      </c>
      <c r="J253" s="1591">
        <v>0</v>
      </c>
      <c r="K253" s="1591">
        <v>0</v>
      </c>
      <c r="L253" s="1591">
        <v>0</v>
      </c>
      <c r="M253" s="1591">
        <v>0</v>
      </c>
      <c r="N253" s="1591">
        <v>0</v>
      </c>
      <c r="O253" s="1591">
        <v>0</v>
      </c>
      <c r="P253" s="1591">
        <v>0</v>
      </c>
      <c r="Q253" s="1592">
        <f t="shared" si="38"/>
        <v>0</v>
      </c>
    </row>
    <row r="254" spans="1:17">
      <c r="A254" s="1591" t="s">
        <v>985</v>
      </c>
      <c r="B254" s="1591" t="s">
        <v>958</v>
      </c>
      <c r="C254" s="1591">
        <v>0</v>
      </c>
      <c r="D254" s="1591">
        <v>0</v>
      </c>
      <c r="E254" s="1591">
        <v>0</v>
      </c>
      <c r="F254" s="1591">
        <v>0</v>
      </c>
      <c r="G254" s="1591">
        <v>0</v>
      </c>
      <c r="H254" s="1591">
        <v>0</v>
      </c>
      <c r="I254" s="1591">
        <v>0</v>
      </c>
      <c r="J254" s="1591">
        <v>0</v>
      </c>
      <c r="K254" s="1591">
        <v>0</v>
      </c>
      <c r="L254" s="1591">
        <v>0</v>
      </c>
      <c r="M254" s="1591">
        <v>0</v>
      </c>
      <c r="N254" s="1591">
        <v>0</v>
      </c>
      <c r="O254" s="1591">
        <v>0</v>
      </c>
      <c r="P254" s="1591">
        <v>0</v>
      </c>
      <c r="Q254" s="1592">
        <f t="shared" si="38"/>
        <v>0</v>
      </c>
    </row>
    <row r="255" spans="1:17">
      <c r="A255" s="1591" t="s">
        <v>986</v>
      </c>
      <c r="B255" s="1591" t="s">
        <v>958</v>
      </c>
      <c r="C255" s="1591">
        <v>0</v>
      </c>
      <c r="D255" s="1591">
        <v>0</v>
      </c>
      <c r="E255" s="1591">
        <v>0</v>
      </c>
      <c r="F255" s="1591">
        <v>0</v>
      </c>
      <c r="G255" s="1591">
        <v>0</v>
      </c>
      <c r="H255" s="1591">
        <v>0</v>
      </c>
      <c r="I255" s="1591">
        <v>0</v>
      </c>
      <c r="J255" s="1591">
        <v>0</v>
      </c>
      <c r="K255" s="1591">
        <v>0</v>
      </c>
      <c r="L255" s="1591">
        <v>0</v>
      </c>
      <c r="M255" s="1591">
        <v>0</v>
      </c>
      <c r="N255" s="1591">
        <v>0</v>
      </c>
      <c r="O255" s="1591">
        <v>0</v>
      </c>
      <c r="P255" s="1591">
        <v>0</v>
      </c>
      <c r="Q255" s="1592">
        <f t="shared" si="38"/>
        <v>0</v>
      </c>
    </row>
    <row r="256" spans="1:17">
      <c r="A256" s="1591" t="s">
        <v>987</v>
      </c>
      <c r="B256" s="1591" t="s">
        <v>958</v>
      </c>
      <c r="C256" s="1591">
        <v>0</v>
      </c>
      <c r="D256" s="1591">
        <v>0</v>
      </c>
      <c r="E256" s="1591">
        <v>0</v>
      </c>
      <c r="F256" s="1591">
        <v>0</v>
      </c>
      <c r="G256" s="1591">
        <v>0</v>
      </c>
      <c r="H256" s="1591">
        <v>0</v>
      </c>
      <c r="I256" s="1591">
        <v>0</v>
      </c>
      <c r="J256" s="1591">
        <v>0</v>
      </c>
      <c r="K256" s="1591">
        <v>0</v>
      </c>
      <c r="L256" s="1591">
        <v>0</v>
      </c>
      <c r="M256" s="1591">
        <v>0</v>
      </c>
      <c r="N256" s="1591">
        <v>0</v>
      </c>
      <c r="O256" s="1591">
        <v>0</v>
      </c>
      <c r="P256" s="1591">
        <v>0</v>
      </c>
      <c r="Q256" s="1592">
        <f t="shared" si="38"/>
        <v>0</v>
      </c>
    </row>
    <row r="257" spans="1:18">
      <c r="A257" s="1591" t="s">
        <v>988</v>
      </c>
      <c r="B257" s="1591" t="s">
        <v>958</v>
      </c>
      <c r="C257" s="1591">
        <v>0</v>
      </c>
      <c r="D257" s="1591">
        <v>0</v>
      </c>
      <c r="E257" s="1591">
        <v>0</v>
      </c>
      <c r="F257" s="1591">
        <v>0</v>
      </c>
      <c r="G257" s="1591">
        <v>0</v>
      </c>
      <c r="H257" s="1591">
        <v>0</v>
      </c>
      <c r="I257" s="1591">
        <v>0</v>
      </c>
      <c r="J257" s="1591">
        <v>0</v>
      </c>
      <c r="K257" s="1591">
        <v>0</v>
      </c>
      <c r="L257" s="1591">
        <v>0</v>
      </c>
      <c r="M257" s="1591">
        <v>0</v>
      </c>
      <c r="N257" s="1591">
        <v>0</v>
      </c>
      <c r="O257" s="1591">
        <v>0</v>
      </c>
      <c r="P257" s="1591">
        <v>0</v>
      </c>
      <c r="Q257" s="1592">
        <f t="shared" si="38"/>
        <v>0</v>
      </c>
    </row>
    <row r="258" spans="1:18">
      <c r="A258" s="1592"/>
      <c r="B258" s="1591" t="s">
        <v>958</v>
      </c>
      <c r="C258" s="1592">
        <f>SUM(C246:C257)</f>
        <v>0</v>
      </c>
      <c r="D258" s="1592">
        <f t="shared" ref="D258:O258" si="39">SUM(D246:D257)</f>
        <v>0</v>
      </c>
      <c r="E258" s="1592">
        <f t="shared" si="39"/>
        <v>0</v>
      </c>
      <c r="F258" s="1592">
        <f t="shared" si="39"/>
        <v>0</v>
      </c>
      <c r="G258" s="1592">
        <f t="shared" si="39"/>
        <v>0</v>
      </c>
      <c r="H258" s="1592">
        <f t="shared" si="39"/>
        <v>0</v>
      </c>
      <c r="I258" s="1592">
        <f t="shared" si="39"/>
        <v>0</v>
      </c>
      <c r="J258" s="1592">
        <f t="shared" si="39"/>
        <v>0</v>
      </c>
      <c r="K258" s="1592">
        <f t="shared" si="39"/>
        <v>0</v>
      </c>
      <c r="L258" s="1592">
        <f t="shared" si="39"/>
        <v>0</v>
      </c>
      <c r="M258" s="1592">
        <f t="shared" si="39"/>
        <v>0</v>
      </c>
      <c r="N258" s="1592">
        <f t="shared" si="39"/>
        <v>0</v>
      </c>
      <c r="O258" s="1592">
        <f t="shared" si="39"/>
        <v>0</v>
      </c>
      <c r="P258" s="1592">
        <f>SUM(P246:P257)</f>
        <v>0</v>
      </c>
      <c r="Q258" s="1592">
        <f>SUM(Q246:Q257)</f>
        <v>0</v>
      </c>
      <c r="R258" s="1592"/>
    </row>
    <row r="259" spans="1:18" ht="15.75" thickBot="1">
      <c r="A259" s="1787"/>
      <c r="B259" s="1787" t="s">
        <v>22</v>
      </c>
      <c r="C259" s="1787">
        <f>C228+C243</f>
        <v>204</v>
      </c>
      <c r="D259" s="1787">
        <f t="shared" ref="D259:Q259" si="40">D228+D243</f>
        <v>762</v>
      </c>
      <c r="E259" s="1787">
        <f t="shared" si="40"/>
        <v>454</v>
      </c>
      <c r="F259" s="1787">
        <f t="shared" si="40"/>
        <v>911</v>
      </c>
      <c r="G259" s="1787">
        <f t="shared" si="40"/>
        <v>670</v>
      </c>
      <c r="H259" s="1787">
        <f t="shared" si="40"/>
        <v>565</v>
      </c>
      <c r="I259" s="1787">
        <f t="shared" si="40"/>
        <v>461</v>
      </c>
      <c r="J259" s="1787">
        <f t="shared" si="40"/>
        <v>563</v>
      </c>
      <c r="K259" s="1787">
        <f t="shared" si="40"/>
        <v>861</v>
      </c>
      <c r="L259" s="1787">
        <f t="shared" si="40"/>
        <v>909</v>
      </c>
      <c r="M259" s="1787">
        <f t="shared" si="40"/>
        <v>4019</v>
      </c>
      <c r="N259" s="1787">
        <f t="shared" si="40"/>
        <v>3806</v>
      </c>
      <c r="O259" s="1787">
        <f t="shared" si="40"/>
        <v>1991</v>
      </c>
      <c r="P259" s="1787">
        <f t="shared" si="40"/>
        <v>45086</v>
      </c>
      <c r="Q259" s="1787">
        <f t="shared" si="40"/>
        <v>61262</v>
      </c>
    </row>
    <row r="260" spans="1:18" s="1595" customFormat="1" ht="15.75" thickTop="1">
      <c r="A260" s="1594" t="s">
        <v>997</v>
      </c>
      <c r="Q260" s="1594"/>
    </row>
    <row r="261" spans="1:18">
      <c r="A261" s="1592" t="s">
        <v>976</v>
      </c>
    </row>
    <row r="262" spans="1:18">
      <c r="A262" s="1591" t="s">
        <v>977</v>
      </c>
      <c r="B262" s="1591" t="s">
        <v>958</v>
      </c>
      <c r="C262" s="1591">
        <v>10</v>
      </c>
      <c r="D262" s="1591">
        <v>8</v>
      </c>
      <c r="E262" s="1591">
        <v>23</v>
      </c>
      <c r="F262" s="1591">
        <v>37</v>
      </c>
      <c r="G262" s="1591">
        <v>21</v>
      </c>
      <c r="H262" s="1591">
        <v>0</v>
      </c>
      <c r="I262" s="1591">
        <v>33</v>
      </c>
      <c r="J262" s="1591">
        <v>37</v>
      </c>
      <c r="K262" s="1591">
        <v>0</v>
      </c>
      <c r="L262" s="1591">
        <v>142</v>
      </c>
      <c r="M262" s="1591">
        <v>255</v>
      </c>
      <c r="N262" s="1591">
        <v>106</v>
      </c>
      <c r="O262" s="1591">
        <v>0</v>
      </c>
      <c r="P262" s="1591">
        <v>0</v>
      </c>
      <c r="Q262" s="1592">
        <f>SUM(D262:P262)</f>
        <v>662</v>
      </c>
    </row>
    <row r="263" spans="1:18">
      <c r="A263" s="1591" t="s">
        <v>978</v>
      </c>
      <c r="B263" s="1591" t="s">
        <v>958</v>
      </c>
      <c r="C263" s="1591">
        <v>5</v>
      </c>
      <c r="D263" s="1591">
        <v>15</v>
      </c>
      <c r="E263" s="1591">
        <v>36</v>
      </c>
      <c r="F263" s="1591">
        <v>38</v>
      </c>
      <c r="G263" s="1591">
        <v>0</v>
      </c>
      <c r="H263" s="1591">
        <v>30</v>
      </c>
      <c r="I263" s="1591">
        <v>0</v>
      </c>
      <c r="J263" s="1591">
        <v>37</v>
      </c>
      <c r="K263" s="1591">
        <v>42</v>
      </c>
      <c r="L263" s="1591">
        <v>0</v>
      </c>
      <c r="M263" s="1591">
        <v>236</v>
      </c>
      <c r="N263" s="1591">
        <v>357</v>
      </c>
      <c r="O263" s="1591">
        <v>0</v>
      </c>
      <c r="P263" s="1591">
        <v>0</v>
      </c>
      <c r="Q263" s="1592">
        <f>SUM(C263:P263)</f>
        <v>796</v>
      </c>
    </row>
    <row r="264" spans="1:18">
      <c r="A264" s="1591" t="s">
        <v>979</v>
      </c>
      <c r="B264" s="1591" t="s">
        <v>958</v>
      </c>
      <c r="C264" s="1591">
        <v>0</v>
      </c>
      <c r="D264" s="1591">
        <v>6</v>
      </c>
      <c r="E264" s="1591">
        <v>13</v>
      </c>
      <c r="F264" s="1591">
        <v>34</v>
      </c>
      <c r="G264" s="1591">
        <v>25</v>
      </c>
      <c r="H264" s="1591">
        <v>26</v>
      </c>
      <c r="I264" s="1591">
        <v>33</v>
      </c>
      <c r="J264" s="1591">
        <v>38</v>
      </c>
      <c r="K264" s="1591">
        <v>133</v>
      </c>
      <c r="L264" s="1591">
        <v>50</v>
      </c>
      <c r="M264" s="1591">
        <v>253</v>
      </c>
      <c r="N264" s="1591">
        <v>108</v>
      </c>
      <c r="O264" s="1591">
        <v>218</v>
      </c>
      <c r="P264" s="1591">
        <v>0</v>
      </c>
      <c r="Q264" s="1592">
        <f>SUM(C264:P264)</f>
        <v>937</v>
      </c>
    </row>
    <row r="265" spans="1:18">
      <c r="A265" s="1591" t="s">
        <v>980</v>
      </c>
      <c r="B265" s="1591" t="s">
        <v>958</v>
      </c>
      <c r="C265" s="1591">
        <v>0</v>
      </c>
      <c r="D265" s="1591">
        <v>14</v>
      </c>
      <c r="E265" s="1591">
        <v>38</v>
      </c>
      <c r="F265" s="1591">
        <v>0</v>
      </c>
      <c r="G265" s="1591">
        <v>44</v>
      </c>
      <c r="H265" s="1591">
        <v>54</v>
      </c>
      <c r="I265" s="1591">
        <v>35</v>
      </c>
      <c r="J265" s="1591">
        <v>0</v>
      </c>
      <c r="K265" s="1591">
        <v>42</v>
      </c>
      <c r="L265" s="1591">
        <v>0</v>
      </c>
      <c r="M265" s="1591">
        <v>259</v>
      </c>
      <c r="N265" s="1591">
        <v>462</v>
      </c>
      <c r="O265" s="1591">
        <v>0</v>
      </c>
      <c r="P265" s="1591">
        <v>0</v>
      </c>
      <c r="Q265" s="1592">
        <f>SUM(C265:P265)</f>
        <v>948</v>
      </c>
    </row>
    <row r="266" spans="1:18">
      <c r="A266" s="1591" t="s">
        <v>981</v>
      </c>
      <c r="B266" s="1591" t="s">
        <v>958</v>
      </c>
      <c r="C266" s="1591">
        <v>0</v>
      </c>
      <c r="D266" s="1591">
        <v>17</v>
      </c>
      <c r="E266" s="1591">
        <v>27</v>
      </c>
      <c r="F266" s="1591">
        <v>19</v>
      </c>
      <c r="G266" s="1591">
        <v>25</v>
      </c>
      <c r="H266" s="1591">
        <v>28</v>
      </c>
      <c r="I266" s="1591">
        <v>33</v>
      </c>
      <c r="J266" s="1591">
        <v>38</v>
      </c>
      <c r="K266" s="1591">
        <v>43</v>
      </c>
      <c r="L266" s="1591">
        <v>0</v>
      </c>
      <c r="M266" s="1591">
        <v>286</v>
      </c>
      <c r="N266" s="1591">
        <v>358</v>
      </c>
      <c r="O266" s="1591">
        <v>338</v>
      </c>
      <c r="P266" s="1591">
        <v>0</v>
      </c>
      <c r="Q266" s="1592">
        <f t="shared" ref="Q266:Q272" si="41">SUM(C266:P266)</f>
        <v>1212</v>
      </c>
    </row>
    <row r="267" spans="1:18">
      <c r="A267" s="1591" t="s">
        <v>982</v>
      </c>
      <c r="B267" s="1591" t="s">
        <v>958</v>
      </c>
      <c r="C267" s="1591">
        <v>0</v>
      </c>
      <c r="D267" s="1591">
        <v>0</v>
      </c>
      <c r="E267" s="1591">
        <v>15</v>
      </c>
      <c r="F267" s="1591">
        <v>16</v>
      </c>
      <c r="G267" s="1591">
        <v>0</v>
      </c>
      <c r="H267" s="1591">
        <v>57</v>
      </c>
      <c r="I267" s="1591">
        <v>31</v>
      </c>
      <c r="J267" s="1591">
        <v>75</v>
      </c>
      <c r="K267" s="1591">
        <v>0</v>
      </c>
      <c r="L267" s="1591">
        <v>0</v>
      </c>
      <c r="M267" s="1591">
        <v>318</v>
      </c>
      <c r="N267" s="1591">
        <v>409</v>
      </c>
      <c r="O267" s="1591">
        <v>785</v>
      </c>
      <c r="P267" s="1591">
        <v>0</v>
      </c>
      <c r="Q267" s="1592">
        <f t="shared" si="41"/>
        <v>1706</v>
      </c>
    </row>
    <row r="268" spans="1:18">
      <c r="A268" s="1591" t="s">
        <v>983</v>
      </c>
      <c r="B268" s="1591" t="s">
        <v>958</v>
      </c>
      <c r="C268" s="1591">
        <v>0</v>
      </c>
      <c r="D268" s="1591">
        <v>16</v>
      </c>
      <c r="E268" s="1591">
        <v>40</v>
      </c>
      <c r="F268" s="1591">
        <v>74</v>
      </c>
      <c r="G268" s="1591">
        <v>23</v>
      </c>
      <c r="H268" s="1591">
        <v>27</v>
      </c>
      <c r="I268" s="1591">
        <v>0</v>
      </c>
      <c r="J268" s="1591">
        <v>0</v>
      </c>
      <c r="K268" s="1591">
        <v>0</v>
      </c>
      <c r="L268" s="1591">
        <v>49</v>
      </c>
      <c r="M268" s="1591">
        <v>326</v>
      </c>
      <c r="N268" s="1591">
        <v>153</v>
      </c>
      <c r="O268" s="1591">
        <v>272</v>
      </c>
      <c r="P268" s="1591">
        <v>0</v>
      </c>
      <c r="Q268" s="1592">
        <f t="shared" si="41"/>
        <v>980</v>
      </c>
    </row>
    <row r="269" spans="1:18">
      <c r="A269" s="1591" t="s">
        <v>984</v>
      </c>
      <c r="B269" s="1591" t="s">
        <v>958</v>
      </c>
      <c r="C269" s="1591">
        <v>2</v>
      </c>
      <c r="D269" s="1591">
        <v>33</v>
      </c>
      <c r="E269" s="1591">
        <v>25</v>
      </c>
      <c r="F269" s="1591">
        <v>59</v>
      </c>
      <c r="G269" s="1591">
        <v>31</v>
      </c>
      <c r="H269" s="1591">
        <v>74</v>
      </c>
      <c r="I269" s="1591">
        <v>0</v>
      </c>
      <c r="J269" s="1591">
        <v>0</v>
      </c>
      <c r="K269" s="1591">
        <v>0</v>
      </c>
      <c r="L269" s="1591">
        <v>0</v>
      </c>
      <c r="M269" s="1591">
        <v>336</v>
      </c>
      <c r="N269" s="1591">
        <v>148</v>
      </c>
      <c r="O269" s="1591">
        <v>0</v>
      </c>
      <c r="P269" s="1591">
        <v>381</v>
      </c>
      <c r="Q269" s="1592">
        <f t="shared" si="41"/>
        <v>1089</v>
      </c>
    </row>
    <row r="270" spans="1:18">
      <c r="A270" s="1591" t="s">
        <v>985</v>
      </c>
      <c r="B270" s="1591" t="s">
        <v>958</v>
      </c>
      <c r="C270" s="1591">
        <v>0</v>
      </c>
      <c r="D270" s="1591">
        <v>15</v>
      </c>
      <c r="E270" s="1591">
        <v>37</v>
      </c>
      <c r="F270" s="1591">
        <v>33</v>
      </c>
      <c r="G270" s="1591">
        <v>24</v>
      </c>
      <c r="H270" s="1591">
        <v>57</v>
      </c>
      <c r="I270" s="1591">
        <v>0</v>
      </c>
      <c r="J270" s="1591">
        <v>0</v>
      </c>
      <c r="K270" s="1591">
        <v>0</v>
      </c>
      <c r="L270" s="1591">
        <v>0</v>
      </c>
      <c r="M270" s="1591">
        <v>327</v>
      </c>
      <c r="N270" s="1591">
        <v>251</v>
      </c>
      <c r="O270" s="1591">
        <v>499</v>
      </c>
      <c r="P270" s="1591">
        <v>0</v>
      </c>
      <c r="Q270" s="1592">
        <f t="shared" si="41"/>
        <v>1243</v>
      </c>
    </row>
    <row r="271" spans="1:18">
      <c r="A271" s="1591" t="s">
        <v>986</v>
      </c>
      <c r="B271" s="1591" t="s">
        <v>958</v>
      </c>
      <c r="C271" s="1591">
        <v>4</v>
      </c>
      <c r="D271" s="1591">
        <v>8</v>
      </c>
      <c r="E271" s="1591">
        <v>24</v>
      </c>
      <c r="F271" s="1591">
        <v>0</v>
      </c>
      <c r="G271" s="1591">
        <v>69</v>
      </c>
      <c r="H271" s="1591">
        <v>30</v>
      </c>
      <c r="I271" s="1591">
        <v>31</v>
      </c>
      <c r="J271" s="1591">
        <v>0</v>
      </c>
      <c r="K271" s="1591">
        <v>43</v>
      </c>
      <c r="L271" s="1591">
        <v>405</v>
      </c>
      <c r="M271" s="1591">
        <v>117</v>
      </c>
      <c r="N271" s="1591">
        <v>284</v>
      </c>
      <c r="O271" s="1591">
        <v>0</v>
      </c>
      <c r="P271" s="1591">
        <v>0</v>
      </c>
      <c r="Q271" s="1592">
        <f t="shared" si="41"/>
        <v>1015</v>
      </c>
    </row>
    <row r="272" spans="1:18">
      <c r="A272" s="1591" t="s">
        <v>987</v>
      </c>
      <c r="B272" s="1591" t="s">
        <v>958</v>
      </c>
      <c r="C272" s="1591">
        <v>6</v>
      </c>
      <c r="D272" s="1591">
        <v>0</v>
      </c>
      <c r="E272" s="1591">
        <v>26</v>
      </c>
      <c r="F272" s="1591">
        <v>32</v>
      </c>
      <c r="G272" s="1591">
        <v>46</v>
      </c>
      <c r="H272" s="1591">
        <v>58</v>
      </c>
      <c r="I272" s="1591">
        <v>0</v>
      </c>
      <c r="J272" s="1591">
        <v>38</v>
      </c>
      <c r="K272" s="1591">
        <v>0</v>
      </c>
      <c r="L272" s="1591">
        <v>94</v>
      </c>
      <c r="M272" s="1591">
        <v>214</v>
      </c>
      <c r="N272" s="1591">
        <v>289</v>
      </c>
      <c r="O272" s="1591">
        <v>0</v>
      </c>
      <c r="P272" s="1591">
        <v>363</v>
      </c>
      <c r="Q272" s="1592">
        <f t="shared" si="41"/>
        <v>1166</v>
      </c>
    </row>
    <row r="273" spans="1:17">
      <c r="A273" s="1591" t="s">
        <v>988</v>
      </c>
      <c r="B273" s="1591" t="s">
        <v>958</v>
      </c>
      <c r="C273" s="1591">
        <v>5</v>
      </c>
      <c r="D273" s="1591">
        <v>6</v>
      </c>
      <c r="E273" s="1591">
        <v>55</v>
      </c>
      <c r="F273" s="1591">
        <v>16</v>
      </c>
      <c r="G273" s="1591">
        <v>44</v>
      </c>
      <c r="H273" s="1591">
        <v>30</v>
      </c>
      <c r="I273" s="1591">
        <v>32</v>
      </c>
      <c r="J273" s="1591">
        <v>38</v>
      </c>
      <c r="K273" s="1591">
        <v>0</v>
      </c>
      <c r="L273" s="1591">
        <v>50</v>
      </c>
      <c r="M273" s="1591">
        <v>177</v>
      </c>
      <c r="N273" s="1591">
        <v>504</v>
      </c>
      <c r="O273" s="1591">
        <v>278</v>
      </c>
      <c r="P273" s="1591">
        <v>0</v>
      </c>
      <c r="Q273" s="1592">
        <f>SUM(C273:P273)</f>
        <v>1235</v>
      </c>
    </row>
    <row r="274" spans="1:17" s="1592" customFormat="1">
      <c r="B274" s="1591" t="s">
        <v>958</v>
      </c>
      <c r="C274" s="1592">
        <f>SUM(C262:C273)</f>
        <v>32</v>
      </c>
      <c r="D274" s="1592">
        <f t="shared" ref="D274:P274" si="42">SUM(D262:D273)</f>
        <v>138</v>
      </c>
      <c r="E274" s="1592">
        <f t="shared" si="42"/>
        <v>359</v>
      </c>
      <c r="F274" s="1592">
        <f t="shared" si="42"/>
        <v>358</v>
      </c>
      <c r="G274" s="1592">
        <f t="shared" si="42"/>
        <v>352</v>
      </c>
      <c r="H274" s="1592">
        <f t="shared" si="42"/>
        <v>471</v>
      </c>
      <c r="I274" s="1592">
        <f>SUM(I262:I273)</f>
        <v>228</v>
      </c>
      <c r="J274" s="1592">
        <f>SUM(J262:J273)</f>
        <v>301</v>
      </c>
      <c r="K274" s="1592">
        <f t="shared" si="42"/>
        <v>303</v>
      </c>
      <c r="L274" s="1592">
        <f t="shared" si="42"/>
        <v>790</v>
      </c>
      <c r="M274" s="1592">
        <f t="shared" si="42"/>
        <v>3104</v>
      </c>
      <c r="N274" s="1592">
        <f t="shared" si="42"/>
        <v>3429</v>
      </c>
      <c r="O274" s="1592">
        <f t="shared" si="42"/>
        <v>2390</v>
      </c>
      <c r="P274" s="1592">
        <f t="shared" si="42"/>
        <v>744</v>
      </c>
      <c r="Q274" s="1592">
        <f>SUM(Q262:Q273)</f>
        <v>12989</v>
      </c>
    </row>
    <row r="276" spans="1:17">
      <c r="A276" s="1592" t="s">
        <v>989</v>
      </c>
      <c r="C276" s="1591" t="s">
        <v>960</v>
      </c>
      <c r="D276" s="1591" t="s">
        <v>961</v>
      </c>
      <c r="E276" s="1591" t="s">
        <v>962</v>
      </c>
      <c r="F276" s="1591" t="s">
        <v>963</v>
      </c>
      <c r="G276" s="1591" t="s">
        <v>964</v>
      </c>
      <c r="H276" s="1591" t="s">
        <v>965</v>
      </c>
      <c r="I276" s="1591" t="s">
        <v>966</v>
      </c>
      <c r="J276" s="1591" t="s">
        <v>967</v>
      </c>
      <c r="K276" s="1591" t="s">
        <v>968</v>
      </c>
      <c r="L276" s="1591" t="s">
        <v>969</v>
      </c>
      <c r="M276" s="1591" t="s">
        <v>970</v>
      </c>
      <c r="N276" s="1591" t="s">
        <v>971</v>
      </c>
      <c r="O276" s="1591" t="s">
        <v>972</v>
      </c>
      <c r="P276" s="1591" t="s">
        <v>973</v>
      </c>
      <c r="Q276" s="1592" t="s">
        <v>22</v>
      </c>
    </row>
    <row r="277" spans="1:17">
      <c r="A277" s="1591" t="s">
        <v>977</v>
      </c>
      <c r="B277" s="1591" t="s">
        <v>958</v>
      </c>
      <c r="C277" s="1591">
        <v>0</v>
      </c>
      <c r="D277" s="1591">
        <v>13</v>
      </c>
      <c r="E277" s="1591">
        <v>14</v>
      </c>
      <c r="F277" s="1591">
        <v>0</v>
      </c>
      <c r="G277" s="1591">
        <v>0</v>
      </c>
      <c r="H277" s="1591">
        <v>0</v>
      </c>
      <c r="I277" s="1591">
        <v>0</v>
      </c>
      <c r="J277" s="1591">
        <v>0</v>
      </c>
      <c r="K277" s="1591">
        <v>0</v>
      </c>
      <c r="L277" s="1591">
        <v>0</v>
      </c>
      <c r="M277" s="1591">
        <v>0</v>
      </c>
      <c r="N277" s="1591">
        <v>0</v>
      </c>
      <c r="O277" s="1591">
        <v>0</v>
      </c>
      <c r="P277" s="1591">
        <v>0</v>
      </c>
      <c r="Q277" s="1592">
        <v>3932</v>
      </c>
    </row>
    <row r="278" spans="1:17">
      <c r="A278" s="1591" t="s">
        <v>978</v>
      </c>
      <c r="B278" s="1591" t="s">
        <v>958</v>
      </c>
      <c r="C278" s="1591">
        <v>4</v>
      </c>
      <c r="D278" s="1591">
        <v>7</v>
      </c>
      <c r="E278" s="1591">
        <v>0</v>
      </c>
      <c r="F278" s="1591">
        <v>19</v>
      </c>
      <c r="G278" s="1591">
        <v>0</v>
      </c>
      <c r="H278" s="1591">
        <v>0</v>
      </c>
      <c r="I278" s="1591">
        <v>0</v>
      </c>
      <c r="J278" s="1591">
        <v>0</v>
      </c>
      <c r="K278" s="1591">
        <v>0</v>
      </c>
      <c r="L278" s="1591">
        <v>0</v>
      </c>
      <c r="M278" s="1591">
        <v>0</v>
      </c>
      <c r="N278" s="1591">
        <v>0</v>
      </c>
      <c r="O278" s="1591">
        <v>0</v>
      </c>
      <c r="P278" s="1591">
        <v>0</v>
      </c>
      <c r="Q278" s="1592">
        <f>SUM(C278:P278)</f>
        <v>30</v>
      </c>
    </row>
    <row r="279" spans="1:17">
      <c r="A279" s="1591" t="s">
        <v>979</v>
      </c>
      <c r="B279" s="1591" t="s">
        <v>958</v>
      </c>
      <c r="C279" s="1591">
        <v>5</v>
      </c>
      <c r="D279" s="1591">
        <v>0</v>
      </c>
      <c r="E279" s="1591">
        <v>6</v>
      </c>
      <c r="F279" s="1591">
        <v>17</v>
      </c>
      <c r="G279" s="1591">
        <v>0</v>
      </c>
      <c r="H279" s="1591">
        <v>0</v>
      </c>
      <c r="I279" s="1591">
        <v>0</v>
      </c>
      <c r="J279" s="1591">
        <v>0</v>
      </c>
      <c r="K279" s="1591">
        <v>0</v>
      </c>
      <c r="L279" s="1591">
        <v>0</v>
      </c>
      <c r="M279" s="1591">
        <v>0</v>
      </c>
      <c r="N279" s="1591">
        <v>0</v>
      </c>
      <c r="O279" s="1591">
        <v>0</v>
      </c>
      <c r="P279" s="1591">
        <v>0</v>
      </c>
      <c r="Q279" s="1592">
        <f>SUM(C279:P279)</f>
        <v>28</v>
      </c>
    </row>
    <row r="280" spans="1:17">
      <c r="A280" s="1591" t="s">
        <v>980</v>
      </c>
      <c r="B280" s="1591" t="s">
        <v>958</v>
      </c>
      <c r="C280" s="1591">
        <v>8</v>
      </c>
      <c r="D280" s="1591">
        <v>0</v>
      </c>
      <c r="E280" s="1591">
        <v>0</v>
      </c>
      <c r="F280" s="1591">
        <v>16</v>
      </c>
      <c r="G280" s="1591">
        <v>0</v>
      </c>
      <c r="H280" s="1591">
        <v>0</v>
      </c>
      <c r="I280" s="1591">
        <v>0</v>
      </c>
      <c r="J280" s="1591">
        <v>0</v>
      </c>
      <c r="K280" s="1591">
        <v>0</v>
      </c>
      <c r="L280" s="1591">
        <v>0</v>
      </c>
      <c r="M280" s="1591">
        <v>0</v>
      </c>
      <c r="N280" s="1591">
        <v>0</v>
      </c>
      <c r="O280" s="1591">
        <v>0</v>
      </c>
      <c r="P280" s="1591">
        <v>0</v>
      </c>
      <c r="Q280" s="1592">
        <f>SUM(C280:P280)</f>
        <v>24</v>
      </c>
    </row>
    <row r="281" spans="1:17">
      <c r="A281" s="1591" t="s">
        <v>981</v>
      </c>
      <c r="B281" s="1591" t="s">
        <v>958</v>
      </c>
      <c r="C281" s="1591">
        <v>10</v>
      </c>
      <c r="D281" s="1591">
        <v>0</v>
      </c>
      <c r="E281" s="1591">
        <v>0</v>
      </c>
      <c r="F281" s="1591">
        <v>0</v>
      </c>
      <c r="G281" s="1591">
        <v>0</v>
      </c>
      <c r="H281" s="1591">
        <v>28</v>
      </c>
      <c r="I281" s="1591">
        <v>0</v>
      </c>
      <c r="J281" s="1591">
        <v>0</v>
      </c>
      <c r="K281" s="1591">
        <v>0</v>
      </c>
      <c r="L281" s="1591">
        <v>0</v>
      </c>
      <c r="M281" s="1591">
        <v>0</v>
      </c>
      <c r="N281" s="1591">
        <v>0</v>
      </c>
      <c r="O281" s="1591">
        <v>0</v>
      </c>
      <c r="P281" s="1591">
        <v>0</v>
      </c>
      <c r="Q281" s="1592">
        <f t="shared" ref="Q281:Q288" si="43">SUM(C281:P281)</f>
        <v>38</v>
      </c>
    </row>
    <row r="282" spans="1:17">
      <c r="A282" s="1591" t="s">
        <v>982</v>
      </c>
      <c r="B282" s="1591" t="s">
        <v>958</v>
      </c>
      <c r="C282" s="1591">
        <v>0</v>
      </c>
      <c r="D282" s="1591">
        <v>26</v>
      </c>
      <c r="E282" s="1591">
        <v>0</v>
      </c>
      <c r="F282" s="1591">
        <v>0</v>
      </c>
      <c r="G282" s="1591">
        <v>0</v>
      </c>
      <c r="H282" s="1591">
        <v>0</v>
      </c>
      <c r="I282" s="1591">
        <v>0</v>
      </c>
      <c r="J282" s="1591">
        <v>0</v>
      </c>
      <c r="K282" s="1591">
        <v>0</v>
      </c>
      <c r="L282" s="1591">
        <v>0</v>
      </c>
      <c r="M282" s="1591">
        <v>0</v>
      </c>
      <c r="N282" s="1591">
        <v>0</v>
      </c>
      <c r="O282" s="1591">
        <v>0</v>
      </c>
      <c r="P282" s="1591">
        <v>0</v>
      </c>
      <c r="Q282" s="1592">
        <f t="shared" si="43"/>
        <v>26</v>
      </c>
    </row>
    <row r="283" spans="1:17">
      <c r="A283" s="1591" t="s">
        <v>983</v>
      </c>
      <c r="B283" s="1591" t="s">
        <v>958</v>
      </c>
      <c r="C283" s="1591">
        <v>9</v>
      </c>
      <c r="D283" s="1591">
        <v>0</v>
      </c>
      <c r="E283" s="1591">
        <v>0</v>
      </c>
      <c r="F283" s="1591">
        <v>17</v>
      </c>
      <c r="G283" s="1591">
        <v>0</v>
      </c>
      <c r="H283" s="1591">
        <v>0</v>
      </c>
      <c r="I283" s="1591">
        <v>0</v>
      </c>
      <c r="J283" s="1591">
        <v>0</v>
      </c>
      <c r="K283" s="1591">
        <v>0</v>
      </c>
      <c r="L283" s="1591">
        <v>0</v>
      </c>
      <c r="M283" s="1591">
        <v>0</v>
      </c>
      <c r="N283" s="1591">
        <v>0</v>
      </c>
      <c r="O283" s="1591">
        <v>0</v>
      </c>
      <c r="P283" s="1591">
        <v>0</v>
      </c>
      <c r="Q283" s="1592">
        <f t="shared" si="43"/>
        <v>26</v>
      </c>
    </row>
    <row r="284" spans="1:17">
      <c r="A284" s="1591" t="s">
        <v>984</v>
      </c>
      <c r="B284" s="1591" t="s">
        <v>958</v>
      </c>
      <c r="C284" s="1591">
        <v>9</v>
      </c>
      <c r="D284" s="1591">
        <v>0</v>
      </c>
      <c r="E284" s="1591">
        <v>0</v>
      </c>
      <c r="F284" s="1591">
        <v>20</v>
      </c>
      <c r="G284" s="1591">
        <v>0</v>
      </c>
      <c r="H284" s="1591">
        <v>0</v>
      </c>
      <c r="I284" s="1591">
        <v>0</v>
      </c>
      <c r="J284" s="1591">
        <v>0</v>
      </c>
      <c r="K284" s="1591">
        <v>0</v>
      </c>
      <c r="L284" s="1591">
        <v>0</v>
      </c>
      <c r="M284" s="1591">
        <v>0</v>
      </c>
      <c r="N284" s="1591">
        <v>0</v>
      </c>
      <c r="O284" s="1591">
        <v>0</v>
      </c>
      <c r="P284" s="1591">
        <v>0</v>
      </c>
      <c r="Q284" s="1592">
        <f t="shared" si="43"/>
        <v>29</v>
      </c>
    </row>
    <row r="285" spans="1:17">
      <c r="A285" s="1591" t="s">
        <v>985</v>
      </c>
      <c r="B285" s="1591" t="s">
        <v>958</v>
      </c>
      <c r="C285" s="1591">
        <v>9</v>
      </c>
      <c r="D285" s="1591">
        <v>0</v>
      </c>
      <c r="E285" s="1591">
        <v>12</v>
      </c>
      <c r="F285" s="1591">
        <v>0</v>
      </c>
      <c r="G285" s="1591">
        <v>0</v>
      </c>
      <c r="H285" s="1591">
        <v>0</v>
      </c>
      <c r="I285" s="1591">
        <v>0</v>
      </c>
      <c r="J285" s="1591">
        <v>0</v>
      </c>
      <c r="K285" s="1591">
        <v>0</v>
      </c>
      <c r="L285" s="1591">
        <v>0</v>
      </c>
      <c r="M285" s="1591">
        <v>0</v>
      </c>
      <c r="N285" s="1591">
        <v>0</v>
      </c>
      <c r="O285" s="1591">
        <v>0</v>
      </c>
      <c r="P285" s="1591">
        <v>0</v>
      </c>
      <c r="Q285" s="1592">
        <f t="shared" si="43"/>
        <v>21</v>
      </c>
    </row>
    <row r="286" spans="1:17">
      <c r="A286" s="1591" t="s">
        <v>986</v>
      </c>
      <c r="B286" s="1591" t="s">
        <v>958</v>
      </c>
      <c r="C286" s="1591">
        <v>4</v>
      </c>
      <c r="D286" s="1591">
        <v>7</v>
      </c>
      <c r="E286" s="1591">
        <v>13</v>
      </c>
      <c r="F286" s="1591">
        <v>0</v>
      </c>
      <c r="G286" s="1591">
        <v>0</v>
      </c>
      <c r="H286" s="1591">
        <v>0</v>
      </c>
      <c r="I286" s="1591">
        <v>0</v>
      </c>
      <c r="J286" s="1591">
        <v>0</v>
      </c>
      <c r="K286" s="1591">
        <v>0</v>
      </c>
      <c r="L286" s="1591">
        <v>0</v>
      </c>
      <c r="M286" s="1591">
        <v>0</v>
      </c>
      <c r="N286" s="1591">
        <v>0</v>
      </c>
      <c r="O286" s="1591">
        <v>0</v>
      </c>
      <c r="P286" s="1591">
        <v>0</v>
      </c>
      <c r="Q286" s="1592">
        <f t="shared" si="43"/>
        <v>24</v>
      </c>
    </row>
    <row r="287" spans="1:17">
      <c r="A287" s="1591" t="s">
        <v>987</v>
      </c>
      <c r="B287" s="1591" t="s">
        <v>958</v>
      </c>
      <c r="C287" s="1591">
        <v>10</v>
      </c>
      <c r="D287" s="1591">
        <v>0</v>
      </c>
      <c r="E287" s="1591">
        <v>0</v>
      </c>
      <c r="F287" s="1591">
        <v>0</v>
      </c>
      <c r="G287" s="1591">
        <v>22</v>
      </c>
      <c r="H287" s="1591">
        <v>0</v>
      </c>
      <c r="I287" s="1591">
        <v>0</v>
      </c>
      <c r="J287" s="1591">
        <v>0</v>
      </c>
      <c r="K287" s="1591">
        <v>0</v>
      </c>
      <c r="L287" s="1591">
        <v>0</v>
      </c>
      <c r="M287" s="1591">
        <v>0</v>
      </c>
      <c r="N287" s="1591">
        <v>0</v>
      </c>
      <c r="O287" s="1591">
        <v>0</v>
      </c>
      <c r="P287" s="1591">
        <v>0</v>
      </c>
      <c r="Q287" s="1592">
        <f t="shared" si="43"/>
        <v>32</v>
      </c>
    </row>
    <row r="288" spans="1:17">
      <c r="A288" s="1591" t="s">
        <v>988</v>
      </c>
      <c r="B288" s="1591" t="s">
        <v>958</v>
      </c>
      <c r="C288" s="1591">
        <v>0</v>
      </c>
      <c r="D288" s="1591">
        <v>12</v>
      </c>
      <c r="E288" s="1591">
        <v>0</v>
      </c>
      <c r="F288" s="1591">
        <v>0</v>
      </c>
      <c r="G288" s="1591">
        <v>0</v>
      </c>
      <c r="H288" s="1591">
        <v>0</v>
      </c>
      <c r="I288" s="1591">
        <v>0</v>
      </c>
      <c r="J288" s="1591">
        <v>0</v>
      </c>
      <c r="K288" s="1591">
        <v>0</v>
      </c>
      <c r="L288" s="1591">
        <v>0</v>
      </c>
      <c r="M288" s="1591">
        <v>0</v>
      </c>
      <c r="N288" s="1591">
        <v>0</v>
      </c>
      <c r="O288" s="1591">
        <v>0</v>
      </c>
      <c r="P288" s="1591">
        <v>0</v>
      </c>
      <c r="Q288" s="1592">
        <f t="shared" si="43"/>
        <v>12</v>
      </c>
    </row>
    <row r="289" spans="1:18" s="1592" customFormat="1">
      <c r="B289" s="1591" t="s">
        <v>958</v>
      </c>
      <c r="C289" s="1592">
        <f>SUM(C277:C288)</f>
        <v>68</v>
      </c>
      <c r="D289" s="1592">
        <f t="shared" ref="D289:O289" si="44">SUM(D277:D288)</f>
        <v>65</v>
      </c>
      <c r="E289" s="1592">
        <f t="shared" si="44"/>
        <v>45</v>
      </c>
      <c r="F289" s="1592">
        <f t="shared" si="44"/>
        <v>89</v>
      </c>
      <c r="G289" s="1592">
        <f t="shared" si="44"/>
        <v>22</v>
      </c>
      <c r="H289" s="1592">
        <f t="shared" si="44"/>
        <v>28</v>
      </c>
      <c r="I289" s="1592">
        <f t="shared" si="44"/>
        <v>0</v>
      </c>
      <c r="J289" s="1592">
        <f t="shared" si="44"/>
        <v>0</v>
      </c>
      <c r="K289" s="1592">
        <f t="shared" si="44"/>
        <v>0</v>
      </c>
      <c r="L289" s="1592">
        <f t="shared" si="44"/>
        <v>0</v>
      </c>
      <c r="M289" s="1592">
        <f t="shared" si="44"/>
        <v>0</v>
      </c>
      <c r="N289" s="1592">
        <f t="shared" si="44"/>
        <v>0</v>
      </c>
      <c r="O289" s="1592">
        <f t="shared" si="44"/>
        <v>0</v>
      </c>
      <c r="P289" s="1592">
        <f>SUM(P277:P288)</f>
        <v>0</v>
      </c>
      <c r="Q289" s="1592">
        <f>SUM(Q277:Q288)</f>
        <v>4222</v>
      </c>
    </row>
    <row r="291" spans="1:18">
      <c r="A291" s="1592" t="s">
        <v>991</v>
      </c>
    </row>
    <row r="292" spans="1:18">
      <c r="A292" s="1591" t="s">
        <v>977</v>
      </c>
      <c r="B292" s="1591" t="s">
        <v>958</v>
      </c>
      <c r="C292" s="1591">
        <v>3</v>
      </c>
      <c r="D292" s="1591">
        <v>0</v>
      </c>
      <c r="E292" s="1591">
        <v>0</v>
      </c>
      <c r="F292" s="1591">
        <v>0</v>
      </c>
      <c r="G292" s="1591">
        <v>0</v>
      </c>
      <c r="H292" s="1591">
        <v>0</v>
      </c>
      <c r="I292" s="1591">
        <v>0</v>
      </c>
      <c r="J292" s="1591">
        <v>0</v>
      </c>
      <c r="K292" s="1591">
        <v>0</v>
      </c>
      <c r="L292" s="1591">
        <v>0</v>
      </c>
      <c r="M292" s="1591">
        <v>0</v>
      </c>
      <c r="N292" s="1591">
        <v>0</v>
      </c>
      <c r="O292" s="1591">
        <v>0</v>
      </c>
      <c r="P292" s="1591">
        <v>0</v>
      </c>
      <c r="Q292" s="1592">
        <v>3932</v>
      </c>
    </row>
    <row r="293" spans="1:18">
      <c r="A293" s="1591" t="s">
        <v>978</v>
      </c>
      <c r="B293" s="1591" t="s">
        <v>958</v>
      </c>
      <c r="C293" s="1591">
        <v>5</v>
      </c>
      <c r="D293" s="1591">
        <v>0</v>
      </c>
      <c r="E293" s="1591">
        <v>0</v>
      </c>
      <c r="F293" s="1591">
        <v>0</v>
      </c>
      <c r="G293" s="1591">
        <v>0</v>
      </c>
      <c r="H293" s="1591">
        <v>0</v>
      </c>
      <c r="I293" s="1591">
        <v>0</v>
      </c>
      <c r="J293" s="1591">
        <v>0</v>
      </c>
      <c r="K293" s="1591">
        <v>0</v>
      </c>
      <c r="L293" s="1591">
        <v>0</v>
      </c>
      <c r="M293" s="1591">
        <v>0</v>
      </c>
      <c r="N293" s="1591">
        <v>0</v>
      </c>
      <c r="O293" s="1591">
        <v>0</v>
      </c>
      <c r="P293" s="1591">
        <v>0</v>
      </c>
      <c r="Q293" s="1592">
        <f>SUM(C293:P293)</f>
        <v>5</v>
      </c>
    </row>
    <row r="294" spans="1:18">
      <c r="A294" s="1591" t="s">
        <v>979</v>
      </c>
      <c r="B294" s="1591" t="s">
        <v>958</v>
      </c>
      <c r="C294" s="1591">
        <v>4</v>
      </c>
      <c r="D294" s="1591">
        <v>0</v>
      </c>
      <c r="E294" s="1591">
        <v>0</v>
      </c>
      <c r="F294" s="1591">
        <v>0</v>
      </c>
      <c r="G294" s="1591">
        <v>0</v>
      </c>
      <c r="H294" s="1591">
        <v>0</v>
      </c>
      <c r="I294" s="1591">
        <v>0</v>
      </c>
      <c r="J294" s="1591">
        <v>0</v>
      </c>
      <c r="K294" s="1591">
        <v>0</v>
      </c>
      <c r="L294" s="1591">
        <v>0</v>
      </c>
      <c r="M294" s="1591">
        <v>0</v>
      </c>
      <c r="N294" s="1591">
        <v>0</v>
      </c>
      <c r="O294" s="1591">
        <v>0</v>
      </c>
      <c r="P294" s="1591">
        <v>0</v>
      </c>
      <c r="Q294" s="1592">
        <f>SUM(C294:P294)</f>
        <v>4</v>
      </c>
    </row>
    <row r="295" spans="1:18">
      <c r="A295" s="1591" t="s">
        <v>980</v>
      </c>
      <c r="B295" s="1591" t="s">
        <v>958</v>
      </c>
      <c r="C295" s="1591">
        <v>0</v>
      </c>
      <c r="D295" s="1591">
        <v>10</v>
      </c>
      <c r="E295" s="1591">
        <v>0</v>
      </c>
      <c r="F295" s="1591">
        <v>0</v>
      </c>
      <c r="G295" s="1591">
        <v>0</v>
      </c>
      <c r="H295" s="1591">
        <v>0</v>
      </c>
      <c r="I295" s="1591">
        <v>0</v>
      </c>
      <c r="J295" s="1591">
        <v>0</v>
      </c>
      <c r="K295" s="1591">
        <v>0</v>
      </c>
      <c r="L295" s="1591">
        <v>0</v>
      </c>
      <c r="M295" s="1591">
        <v>0</v>
      </c>
      <c r="N295" s="1591">
        <v>0</v>
      </c>
      <c r="O295" s="1591">
        <v>0</v>
      </c>
      <c r="P295" s="1591">
        <v>0</v>
      </c>
      <c r="Q295" s="1592">
        <f>SUM(C295:P295)</f>
        <v>10</v>
      </c>
    </row>
    <row r="296" spans="1:18">
      <c r="A296" s="1591" t="s">
        <v>981</v>
      </c>
      <c r="B296" s="1591" t="s">
        <v>958</v>
      </c>
      <c r="C296" s="1591">
        <v>0</v>
      </c>
      <c r="D296" s="1591">
        <v>10</v>
      </c>
      <c r="E296" s="1591">
        <v>0</v>
      </c>
      <c r="F296" s="1591">
        <v>0</v>
      </c>
      <c r="G296" s="1591">
        <v>0</v>
      </c>
      <c r="H296" s="1591">
        <v>0</v>
      </c>
      <c r="I296" s="1591">
        <v>0</v>
      </c>
      <c r="J296" s="1591">
        <v>0</v>
      </c>
      <c r="K296" s="1591">
        <v>0</v>
      </c>
      <c r="L296" s="1591">
        <v>0</v>
      </c>
      <c r="M296" s="1591">
        <v>0</v>
      </c>
      <c r="N296" s="1591">
        <v>0</v>
      </c>
      <c r="O296" s="1591">
        <v>0</v>
      </c>
      <c r="P296" s="1591">
        <v>0</v>
      </c>
      <c r="Q296" s="1592">
        <f t="shared" ref="Q296:Q303" si="45">SUM(C296:P296)</f>
        <v>10</v>
      </c>
    </row>
    <row r="297" spans="1:18">
      <c r="A297" s="1591" t="s">
        <v>982</v>
      </c>
      <c r="B297" s="1591" t="s">
        <v>958</v>
      </c>
      <c r="C297" s="1591">
        <v>0</v>
      </c>
      <c r="D297" s="1591">
        <v>0</v>
      </c>
      <c r="E297" s="1591">
        <v>12</v>
      </c>
      <c r="F297" s="1591">
        <v>0</v>
      </c>
      <c r="G297" s="1591">
        <v>0</v>
      </c>
      <c r="H297" s="1591">
        <v>0</v>
      </c>
      <c r="I297" s="1591">
        <v>0</v>
      </c>
      <c r="J297" s="1591">
        <v>0</v>
      </c>
      <c r="K297" s="1591">
        <v>0</v>
      </c>
      <c r="L297" s="1591">
        <v>0</v>
      </c>
      <c r="M297" s="1591">
        <v>0</v>
      </c>
      <c r="N297" s="1591">
        <v>0</v>
      </c>
      <c r="O297" s="1591">
        <v>0</v>
      </c>
      <c r="P297" s="1591">
        <v>0</v>
      </c>
      <c r="Q297" s="1592">
        <f t="shared" si="45"/>
        <v>12</v>
      </c>
    </row>
    <row r="298" spans="1:18">
      <c r="A298" s="1591" t="s">
        <v>983</v>
      </c>
      <c r="B298" s="1591" t="s">
        <v>958</v>
      </c>
      <c r="C298" s="1591">
        <v>0</v>
      </c>
      <c r="D298" s="1591">
        <v>0</v>
      </c>
      <c r="E298" s="1591">
        <v>0</v>
      </c>
      <c r="F298" s="1591">
        <v>0</v>
      </c>
      <c r="G298" s="1591">
        <v>0</v>
      </c>
      <c r="H298" s="1591">
        <v>0</v>
      </c>
      <c r="I298" s="1591">
        <v>0</v>
      </c>
      <c r="J298" s="1591">
        <v>0</v>
      </c>
      <c r="K298" s="1591">
        <v>0</v>
      </c>
      <c r="L298" s="1591">
        <v>0</v>
      </c>
      <c r="M298" s="1591">
        <v>0</v>
      </c>
      <c r="N298" s="1591">
        <v>0</v>
      </c>
      <c r="O298" s="1591">
        <v>0</v>
      </c>
      <c r="P298" s="1591">
        <v>0</v>
      </c>
      <c r="Q298" s="1592">
        <f t="shared" si="45"/>
        <v>0</v>
      </c>
    </row>
    <row r="299" spans="1:18">
      <c r="A299" s="1591" t="s">
        <v>984</v>
      </c>
      <c r="B299" s="1591" t="s">
        <v>958</v>
      </c>
      <c r="C299" s="1591">
        <v>0</v>
      </c>
      <c r="D299" s="1591">
        <v>0</v>
      </c>
      <c r="E299" s="1591">
        <v>0</v>
      </c>
      <c r="F299" s="1591">
        <v>0</v>
      </c>
      <c r="G299" s="1591">
        <v>0</v>
      </c>
      <c r="H299" s="1591">
        <v>0</v>
      </c>
      <c r="I299" s="1591">
        <v>0</v>
      </c>
      <c r="J299" s="1591">
        <v>0</v>
      </c>
      <c r="K299" s="1591">
        <v>0</v>
      </c>
      <c r="L299" s="1591">
        <v>0</v>
      </c>
      <c r="M299" s="1591">
        <v>0</v>
      </c>
      <c r="N299" s="1591">
        <v>0</v>
      </c>
      <c r="O299" s="1591">
        <v>0</v>
      </c>
      <c r="P299" s="1591">
        <v>0</v>
      </c>
      <c r="Q299" s="1592">
        <f t="shared" si="45"/>
        <v>0</v>
      </c>
    </row>
    <row r="300" spans="1:18">
      <c r="A300" s="1591" t="s">
        <v>985</v>
      </c>
      <c r="B300" s="1591" t="s">
        <v>958</v>
      </c>
      <c r="C300" s="1591">
        <v>0</v>
      </c>
      <c r="D300" s="1591">
        <v>0</v>
      </c>
      <c r="E300" s="1591">
        <v>0</v>
      </c>
      <c r="F300" s="1591">
        <v>0</v>
      </c>
      <c r="G300" s="1591">
        <v>0</v>
      </c>
      <c r="H300" s="1591">
        <v>0</v>
      </c>
      <c r="I300" s="1591">
        <v>0</v>
      </c>
      <c r="J300" s="1591">
        <v>0</v>
      </c>
      <c r="K300" s="1591">
        <v>0</v>
      </c>
      <c r="L300" s="1591">
        <v>0</v>
      </c>
      <c r="M300" s="1591">
        <v>0</v>
      </c>
      <c r="N300" s="1591">
        <v>0</v>
      </c>
      <c r="O300" s="1591">
        <v>0</v>
      </c>
      <c r="P300" s="1591">
        <v>0</v>
      </c>
      <c r="Q300" s="1592">
        <f t="shared" si="45"/>
        <v>0</v>
      </c>
    </row>
    <row r="301" spans="1:18">
      <c r="A301" s="1591" t="s">
        <v>986</v>
      </c>
      <c r="B301" s="1591" t="s">
        <v>958</v>
      </c>
      <c r="C301" s="1591">
        <v>0</v>
      </c>
      <c r="D301" s="1591">
        <v>0</v>
      </c>
      <c r="E301" s="1591">
        <v>0</v>
      </c>
      <c r="F301" s="1591">
        <v>0</v>
      </c>
      <c r="G301" s="1591">
        <v>0</v>
      </c>
      <c r="H301" s="1591">
        <v>0</v>
      </c>
      <c r="I301" s="1591">
        <v>0</v>
      </c>
      <c r="J301" s="1591">
        <v>0</v>
      </c>
      <c r="K301" s="1591">
        <v>0</v>
      </c>
      <c r="L301" s="1591">
        <v>0</v>
      </c>
      <c r="M301" s="1591">
        <v>0</v>
      </c>
      <c r="N301" s="1591">
        <v>0</v>
      </c>
      <c r="O301" s="1591">
        <v>0</v>
      </c>
      <c r="P301" s="1591">
        <v>0</v>
      </c>
      <c r="Q301" s="1592">
        <f t="shared" si="45"/>
        <v>0</v>
      </c>
    </row>
    <row r="302" spans="1:18">
      <c r="A302" s="1591" t="s">
        <v>987</v>
      </c>
      <c r="B302" s="1591" t="s">
        <v>958</v>
      </c>
      <c r="C302" s="1591">
        <v>0</v>
      </c>
      <c r="D302" s="1591">
        <v>0</v>
      </c>
      <c r="E302" s="1591">
        <v>0</v>
      </c>
      <c r="F302" s="1591">
        <v>0</v>
      </c>
      <c r="G302" s="1591">
        <v>0</v>
      </c>
      <c r="H302" s="1591">
        <v>0</v>
      </c>
      <c r="I302" s="1591">
        <v>0</v>
      </c>
      <c r="J302" s="1591">
        <v>0</v>
      </c>
      <c r="K302" s="1591">
        <v>0</v>
      </c>
      <c r="L302" s="1591">
        <v>0</v>
      </c>
      <c r="M302" s="1591">
        <v>0</v>
      </c>
      <c r="N302" s="1591">
        <v>0</v>
      </c>
      <c r="O302" s="1591">
        <v>0</v>
      </c>
      <c r="P302" s="1591">
        <v>0</v>
      </c>
      <c r="Q302" s="1592">
        <f t="shared" si="45"/>
        <v>0</v>
      </c>
    </row>
    <row r="303" spans="1:18">
      <c r="A303" s="1591" t="s">
        <v>988</v>
      </c>
      <c r="B303" s="1591" t="s">
        <v>958</v>
      </c>
      <c r="C303" s="1591">
        <v>0</v>
      </c>
      <c r="D303" s="1591">
        <v>0</v>
      </c>
      <c r="E303" s="1591">
        <v>0</v>
      </c>
      <c r="F303" s="1591">
        <v>0</v>
      </c>
      <c r="G303" s="1591">
        <v>0</v>
      </c>
      <c r="H303" s="1591">
        <v>0</v>
      </c>
      <c r="I303" s="1591">
        <v>0</v>
      </c>
      <c r="J303" s="1591">
        <v>0</v>
      </c>
      <c r="K303" s="1591">
        <v>0</v>
      </c>
      <c r="L303" s="1591">
        <v>0</v>
      </c>
      <c r="M303" s="1591">
        <v>0</v>
      </c>
      <c r="N303" s="1591">
        <v>0</v>
      </c>
      <c r="O303" s="1591">
        <v>0</v>
      </c>
      <c r="P303" s="1591">
        <v>0</v>
      </c>
      <c r="Q303" s="1592">
        <f t="shared" si="45"/>
        <v>0</v>
      </c>
    </row>
    <row r="304" spans="1:18">
      <c r="A304" s="1592"/>
      <c r="B304" s="1591" t="s">
        <v>958</v>
      </c>
      <c r="C304" s="1592">
        <f>SUM(C292:C303)</f>
        <v>12</v>
      </c>
      <c r="D304" s="1592">
        <f t="shared" ref="D304:O304" si="46">SUM(D292:D303)</f>
        <v>20</v>
      </c>
      <c r="E304" s="1592">
        <f t="shared" si="46"/>
        <v>12</v>
      </c>
      <c r="F304" s="1592">
        <f t="shared" si="46"/>
        <v>0</v>
      </c>
      <c r="G304" s="1592">
        <f t="shared" si="46"/>
        <v>0</v>
      </c>
      <c r="H304" s="1592">
        <f t="shared" si="46"/>
        <v>0</v>
      </c>
      <c r="I304" s="1592">
        <f t="shared" si="46"/>
        <v>0</v>
      </c>
      <c r="J304" s="1592">
        <f t="shared" si="46"/>
        <v>0</v>
      </c>
      <c r="K304" s="1592">
        <f t="shared" si="46"/>
        <v>0</v>
      </c>
      <c r="L304" s="1592">
        <f t="shared" si="46"/>
        <v>0</v>
      </c>
      <c r="M304" s="1592">
        <f t="shared" si="46"/>
        <v>0</v>
      </c>
      <c r="N304" s="1592">
        <f t="shared" si="46"/>
        <v>0</v>
      </c>
      <c r="O304" s="1592">
        <f t="shared" si="46"/>
        <v>0</v>
      </c>
      <c r="P304" s="1592">
        <f>SUM(P292:P303)</f>
        <v>0</v>
      </c>
      <c r="Q304" s="1592">
        <f>SUM(Q292:Q303)</f>
        <v>3973</v>
      </c>
      <c r="R304" s="1592"/>
    </row>
    <row r="305" spans="1:17" ht="15.75" thickBot="1">
      <c r="A305" s="1787"/>
      <c r="B305" s="1787" t="s">
        <v>913</v>
      </c>
      <c r="C305" s="1787">
        <f>C274+C289+C304</f>
        <v>112</v>
      </c>
      <c r="D305" s="1787">
        <f t="shared" ref="D305:P305" si="47">D274+D289+D304</f>
        <v>223</v>
      </c>
      <c r="E305" s="1787">
        <f t="shared" si="47"/>
        <v>416</v>
      </c>
      <c r="F305" s="1787">
        <f t="shared" si="47"/>
        <v>447</v>
      </c>
      <c r="G305" s="1787">
        <f t="shared" si="47"/>
        <v>374</v>
      </c>
      <c r="H305" s="1787">
        <f t="shared" si="47"/>
        <v>499</v>
      </c>
      <c r="I305" s="1787">
        <f t="shared" si="47"/>
        <v>228</v>
      </c>
      <c r="J305" s="1787">
        <f t="shared" si="47"/>
        <v>301</v>
      </c>
      <c r="K305" s="1787">
        <f t="shared" si="47"/>
        <v>303</v>
      </c>
      <c r="L305" s="1787">
        <f t="shared" si="47"/>
        <v>790</v>
      </c>
      <c r="M305" s="1787">
        <f t="shared" si="47"/>
        <v>3104</v>
      </c>
      <c r="N305" s="1787">
        <f t="shared" si="47"/>
        <v>3429</v>
      </c>
      <c r="O305" s="1787">
        <f t="shared" si="47"/>
        <v>2390</v>
      </c>
      <c r="P305" s="1787">
        <f t="shared" si="47"/>
        <v>744</v>
      </c>
      <c r="Q305" s="1787">
        <f>Q274+Q289+Q304</f>
        <v>21184</v>
      </c>
    </row>
    <row r="306" spans="1:17" s="1595" customFormat="1" ht="15.75" thickTop="1">
      <c r="A306" s="1594" t="s">
        <v>998</v>
      </c>
      <c r="Q306" s="1594"/>
    </row>
    <row r="307" spans="1:17">
      <c r="A307" s="1592" t="s">
        <v>976</v>
      </c>
    </row>
    <row r="308" spans="1:17">
      <c r="A308" s="1591" t="s">
        <v>977</v>
      </c>
      <c r="B308" s="1591" t="s">
        <v>958</v>
      </c>
      <c r="C308" s="1591">
        <v>21</v>
      </c>
      <c r="D308" s="1591">
        <v>44</v>
      </c>
      <c r="E308" s="1591">
        <v>64</v>
      </c>
      <c r="F308" s="1591">
        <v>37</v>
      </c>
      <c r="G308" s="1591">
        <v>22</v>
      </c>
      <c r="H308" s="1591">
        <v>120</v>
      </c>
      <c r="I308" s="1591">
        <v>0</v>
      </c>
      <c r="J308" s="1591">
        <v>0</v>
      </c>
      <c r="K308" s="1591">
        <v>0</v>
      </c>
      <c r="L308" s="1591">
        <v>100</v>
      </c>
      <c r="M308" s="1591">
        <v>355</v>
      </c>
      <c r="N308" s="1591">
        <v>811</v>
      </c>
      <c r="O308" s="1591">
        <v>220</v>
      </c>
      <c r="P308" s="1591">
        <v>3995</v>
      </c>
      <c r="Q308" s="1592">
        <f>SUM(C308:P308)</f>
        <v>5789</v>
      </c>
    </row>
    <row r="309" spans="1:17">
      <c r="A309" s="1591" t="s">
        <v>978</v>
      </c>
      <c r="B309" s="1591" t="s">
        <v>958</v>
      </c>
      <c r="C309" s="1591">
        <v>21</v>
      </c>
      <c r="D309" s="1591">
        <v>80</v>
      </c>
      <c r="E309" s="1591">
        <v>39</v>
      </c>
      <c r="F309" s="1591">
        <v>20</v>
      </c>
      <c r="G309" s="1591">
        <v>48</v>
      </c>
      <c r="H309" s="1591">
        <v>60</v>
      </c>
      <c r="I309" s="1591">
        <v>0</v>
      </c>
      <c r="J309" s="1591">
        <v>0</v>
      </c>
      <c r="K309" s="1591">
        <v>44</v>
      </c>
      <c r="L309" s="1591">
        <v>0</v>
      </c>
      <c r="M309" s="1591">
        <v>129</v>
      </c>
      <c r="N309" s="1591">
        <v>459</v>
      </c>
      <c r="O309" s="1591">
        <v>300</v>
      </c>
      <c r="P309" s="1591">
        <v>4185</v>
      </c>
      <c r="Q309" s="1592">
        <f>SUM(C309:P309)</f>
        <v>5385</v>
      </c>
    </row>
    <row r="310" spans="1:17">
      <c r="A310" s="1591" t="s">
        <v>979</v>
      </c>
      <c r="B310" s="1591" t="s">
        <v>958</v>
      </c>
      <c r="C310" s="1591">
        <v>17</v>
      </c>
      <c r="D310" s="1591">
        <v>62</v>
      </c>
      <c r="E310" s="1591">
        <v>38</v>
      </c>
      <c r="F310" s="1591">
        <v>78</v>
      </c>
      <c r="G310" s="1591">
        <v>0</v>
      </c>
      <c r="H310" s="1591">
        <v>0</v>
      </c>
      <c r="I310" s="1591">
        <v>0</v>
      </c>
      <c r="J310" s="1591">
        <v>0</v>
      </c>
      <c r="K310" s="1591">
        <v>87</v>
      </c>
      <c r="L310" s="1591">
        <v>0</v>
      </c>
      <c r="M310" s="1591">
        <v>624</v>
      </c>
      <c r="N310" s="1591">
        <v>518</v>
      </c>
      <c r="O310" s="1591">
        <v>0</v>
      </c>
      <c r="P310" s="1591">
        <v>2103</v>
      </c>
      <c r="Q310" s="1592">
        <f>SUM(C310:P310)</f>
        <v>3527</v>
      </c>
    </row>
    <row r="311" spans="1:17">
      <c r="A311" s="1591" t="s">
        <v>980</v>
      </c>
      <c r="B311" s="1591" t="s">
        <v>958</v>
      </c>
      <c r="C311" s="1591">
        <v>12</v>
      </c>
      <c r="D311" s="1591">
        <v>58</v>
      </c>
      <c r="E311" s="1591">
        <v>0</v>
      </c>
      <c r="F311" s="1591">
        <v>51</v>
      </c>
      <c r="G311" s="1591">
        <v>45</v>
      </c>
      <c r="H311" s="1591">
        <v>58</v>
      </c>
      <c r="I311" s="1591">
        <v>0</v>
      </c>
      <c r="J311" s="1591">
        <v>0</v>
      </c>
      <c r="K311" s="1591">
        <v>45</v>
      </c>
      <c r="L311" s="1591">
        <v>0</v>
      </c>
      <c r="M311" s="1591">
        <v>473</v>
      </c>
      <c r="N311" s="1591">
        <v>364</v>
      </c>
      <c r="O311" s="1591">
        <v>478</v>
      </c>
      <c r="P311" s="1591">
        <v>10045</v>
      </c>
      <c r="Q311" s="1592">
        <f>SUM(C311:P311)</f>
        <v>11629</v>
      </c>
    </row>
    <row r="312" spans="1:17">
      <c r="A312" s="1591" t="s">
        <v>981</v>
      </c>
      <c r="B312" s="1591" t="s">
        <v>958</v>
      </c>
      <c r="C312" s="1591">
        <v>6</v>
      </c>
      <c r="D312" s="1591">
        <v>27</v>
      </c>
      <c r="E312" s="1591">
        <v>26</v>
      </c>
      <c r="F312" s="1591">
        <v>0</v>
      </c>
      <c r="G312" s="1591">
        <v>67</v>
      </c>
      <c r="H312" s="1591">
        <v>0</v>
      </c>
      <c r="I312" s="1591">
        <v>32</v>
      </c>
      <c r="J312" s="1591">
        <v>78</v>
      </c>
      <c r="K312" s="1591">
        <v>89</v>
      </c>
      <c r="L312" s="1591">
        <v>0</v>
      </c>
      <c r="M312" s="1591">
        <v>439</v>
      </c>
      <c r="N312" s="1591">
        <v>535</v>
      </c>
      <c r="O312" s="1591">
        <v>917</v>
      </c>
      <c r="P312" s="1591">
        <v>8734</v>
      </c>
      <c r="Q312" s="1592">
        <f t="shared" ref="Q312:Q318" si="48">SUM(C312:P312)</f>
        <v>10950</v>
      </c>
    </row>
    <row r="313" spans="1:17">
      <c r="A313" s="1591" t="s">
        <v>982</v>
      </c>
      <c r="B313" s="1591" t="s">
        <v>958</v>
      </c>
      <c r="C313" s="1591">
        <v>9</v>
      </c>
      <c r="D313" s="1591">
        <v>28</v>
      </c>
      <c r="E313" s="1591">
        <v>26</v>
      </c>
      <c r="F313" s="1591">
        <v>111</v>
      </c>
      <c r="G313" s="1591">
        <v>24</v>
      </c>
      <c r="H313" s="1591">
        <v>85</v>
      </c>
      <c r="I313" s="1591">
        <v>32</v>
      </c>
      <c r="J313" s="1591">
        <v>0</v>
      </c>
      <c r="K313" s="1591">
        <v>0</v>
      </c>
      <c r="L313" s="1591">
        <v>0</v>
      </c>
      <c r="M313" s="1591">
        <v>130</v>
      </c>
      <c r="N313" s="1591">
        <v>708</v>
      </c>
      <c r="O313" s="1591">
        <v>229</v>
      </c>
      <c r="P313" s="1591">
        <v>8846</v>
      </c>
      <c r="Q313" s="1592">
        <f t="shared" si="48"/>
        <v>10228</v>
      </c>
    </row>
    <row r="314" spans="1:17">
      <c r="A314" s="1591" t="s">
        <v>983</v>
      </c>
      <c r="B314" s="1591" t="s">
        <v>958</v>
      </c>
      <c r="C314" s="1591">
        <v>14</v>
      </c>
      <c r="D314" s="1591">
        <v>78</v>
      </c>
      <c r="E314" s="1591">
        <v>37</v>
      </c>
      <c r="F314" s="1591">
        <v>55</v>
      </c>
      <c r="G314" s="1591">
        <v>24</v>
      </c>
      <c r="H314" s="1591">
        <v>56</v>
      </c>
      <c r="I314" s="1591">
        <v>0</v>
      </c>
      <c r="J314" s="1591">
        <v>38</v>
      </c>
      <c r="K314" s="1591">
        <v>0</v>
      </c>
      <c r="L314" s="1591">
        <v>0</v>
      </c>
      <c r="M314" s="1591">
        <v>234</v>
      </c>
      <c r="N314" s="1591">
        <v>367</v>
      </c>
      <c r="O314" s="1591">
        <v>0</v>
      </c>
      <c r="P314" s="1591">
        <v>7891</v>
      </c>
      <c r="Q314" s="1592">
        <f t="shared" si="48"/>
        <v>8794</v>
      </c>
    </row>
    <row r="315" spans="1:17">
      <c r="A315" s="1591" t="s">
        <v>984</v>
      </c>
      <c r="B315" s="1591" t="s">
        <v>958</v>
      </c>
      <c r="C315" s="1591">
        <v>14</v>
      </c>
      <c r="D315" s="1591">
        <v>60</v>
      </c>
      <c r="E315" s="1591">
        <v>42</v>
      </c>
      <c r="F315" s="1591">
        <v>53</v>
      </c>
      <c r="G315" s="1591">
        <v>23</v>
      </c>
      <c r="H315" s="1591">
        <v>28</v>
      </c>
      <c r="I315" s="1591">
        <v>33</v>
      </c>
      <c r="J315" s="1591">
        <v>0</v>
      </c>
      <c r="K315" s="1591">
        <v>44</v>
      </c>
      <c r="L315" s="1591">
        <v>0</v>
      </c>
      <c r="M315" s="1591">
        <v>295</v>
      </c>
      <c r="N315" s="1591">
        <v>430</v>
      </c>
      <c r="O315" s="1591">
        <v>264</v>
      </c>
      <c r="P315" s="1591">
        <v>6829</v>
      </c>
      <c r="Q315" s="1592">
        <f t="shared" si="48"/>
        <v>8115</v>
      </c>
    </row>
    <row r="316" spans="1:17">
      <c r="A316" s="1591" t="s">
        <v>985</v>
      </c>
      <c r="B316" s="1591" t="s">
        <v>958</v>
      </c>
      <c r="C316" s="1591">
        <v>21</v>
      </c>
      <c r="D316" s="1591">
        <v>74</v>
      </c>
      <c r="E316" s="1591">
        <v>62</v>
      </c>
      <c r="F316" s="1591">
        <v>20</v>
      </c>
      <c r="G316" s="1591">
        <v>45</v>
      </c>
      <c r="H316" s="1591">
        <v>0</v>
      </c>
      <c r="I316" s="1591">
        <v>0</v>
      </c>
      <c r="J316" s="1591">
        <v>0</v>
      </c>
      <c r="K316" s="1591">
        <v>0</v>
      </c>
      <c r="L316" s="1591">
        <v>0</v>
      </c>
      <c r="M316" s="1591">
        <v>239</v>
      </c>
      <c r="N316" s="1591">
        <v>455</v>
      </c>
      <c r="O316" s="1591">
        <v>491</v>
      </c>
      <c r="P316" s="1591">
        <v>4045</v>
      </c>
      <c r="Q316" s="1592">
        <f t="shared" si="48"/>
        <v>5452</v>
      </c>
    </row>
    <row r="317" spans="1:17">
      <c r="A317" s="1591" t="s">
        <v>986</v>
      </c>
      <c r="B317" s="1591" t="s">
        <v>958</v>
      </c>
      <c r="C317" s="1591">
        <v>28</v>
      </c>
      <c r="D317" s="1591">
        <v>74</v>
      </c>
      <c r="E317" s="1591">
        <v>12</v>
      </c>
      <c r="F317" s="1591">
        <v>59</v>
      </c>
      <c r="G317" s="1591">
        <v>0</v>
      </c>
      <c r="H317" s="1591">
        <v>0</v>
      </c>
      <c r="I317" s="1591">
        <v>0</v>
      </c>
      <c r="J317" s="1591">
        <v>0</v>
      </c>
      <c r="K317" s="1591">
        <v>0</v>
      </c>
      <c r="L317" s="1591">
        <v>0</v>
      </c>
      <c r="M317" s="1591">
        <v>257</v>
      </c>
      <c r="N317" s="1591">
        <v>121</v>
      </c>
      <c r="O317" s="1591">
        <v>250</v>
      </c>
      <c r="P317" s="1591">
        <v>4152</v>
      </c>
      <c r="Q317" s="1592">
        <f t="shared" si="48"/>
        <v>4953</v>
      </c>
    </row>
    <row r="318" spans="1:17">
      <c r="A318" s="1591" t="s">
        <v>987</v>
      </c>
      <c r="B318" s="1591" t="s">
        <v>958</v>
      </c>
      <c r="C318" s="1591">
        <v>22</v>
      </c>
      <c r="D318" s="1591">
        <v>62</v>
      </c>
      <c r="E318" s="1591">
        <v>26</v>
      </c>
      <c r="F318" s="1591">
        <v>0</v>
      </c>
      <c r="G318" s="1591">
        <v>47</v>
      </c>
      <c r="H318" s="1591">
        <v>27</v>
      </c>
      <c r="I318" s="1591">
        <v>0</v>
      </c>
      <c r="J318" s="1591">
        <v>0</v>
      </c>
      <c r="K318" s="1591">
        <v>0</v>
      </c>
      <c r="L318" s="1591">
        <v>50</v>
      </c>
      <c r="M318" s="1591">
        <v>65</v>
      </c>
      <c r="N318" s="1591">
        <v>247</v>
      </c>
      <c r="O318" s="1591">
        <v>244</v>
      </c>
      <c r="P318" s="1591">
        <v>3780</v>
      </c>
      <c r="Q318" s="1592">
        <f t="shared" si="48"/>
        <v>4570</v>
      </c>
    </row>
    <row r="319" spans="1:17">
      <c r="A319" s="1591" t="s">
        <v>988</v>
      </c>
      <c r="B319" s="1591" t="s">
        <v>958</v>
      </c>
      <c r="C319" s="1591">
        <v>10</v>
      </c>
      <c r="D319" s="1591">
        <v>52</v>
      </c>
      <c r="E319" s="1591">
        <v>38</v>
      </c>
      <c r="F319" s="1591">
        <v>49</v>
      </c>
      <c r="G319" s="1591">
        <v>25</v>
      </c>
      <c r="H319" s="1591">
        <v>0</v>
      </c>
      <c r="I319" s="1591">
        <v>32</v>
      </c>
      <c r="J319" s="1591">
        <v>0</v>
      </c>
      <c r="K319" s="1591">
        <v>0</v>
      </c>
      <c r="L319" s="1591">
        <v>0</v>
      </c>
      <c r="M319" s="1591">
        <v>140</v>
      </c>
      <c r="N319" s="1591">
        <v>390</v>
      </c>
      <c r="O319" s="1591">
        <v>0</v>
      </c>
      <c r="P319" s="1591">
        <v>3982</v>
      </c>
      <c r="Q319" s="1592">
        <f>SUM(C319:P319)</f>
        <v>4718</v>
      </c>
    </row>
    <row r="320" spans="1:17" s="1592" customFormat="1">
      <c r="B320" s="1591" t="s">
        <v>958</v>
      </c>
      <c r="C320" s="1592">
        <f>SUM(C308:C319)</f>
        <v>195</v>
      </c>
      <c r="D320" s="1592">
        <f t="shared" ref="D320:P320" si="49">SUM(D308:D319)</f>
        <v>699</v>
      </c>
      <c r="E320" s="1592">
        <f t="shared" si="49"/>
        <v>410</v>
      </c>
      <c r="F320" s="1592">
        <f t="shared" si="49"/>
        <v>533</v>
      </c>
      <c r="G320" s="1592">
        <f t="shared" si="49"/>
        <v>370</v>
      </c>
      <c r="H320" s="1592">
        <f t="shared" si="49"/>
        <v>434</v>
      </c>
      <c r="I320" s="1592">
        <f t="shared" si="49"/>
        <v>129</v>
      </c>
      <c r="J320" s="1592">
        <f>SUM(J308:J319)</f>
        <v>116</v>
      </c>
      <c r="K320" s="1592">
        <f t="shared" si="49"/>
        <v>309</v>
      </c>
      <c r="L320" s="1592">
        <f t="shared" si="49"/>
        <v>150</v>
      </c>
      <c r="M320" s="1592">
        <f t="shared" si="49"/>
        <v>3380</v>
      </c>
      <c r="N320" s="1592">
        <f t="shared" si="49"/>
        <v>5405</v>
      </c>
      <c r="O320" s="1592">
        <f t="shared" si="49"/>
        <v>3393</v>
      </c>
      <c r="P320" s="1592">
        <f t="shared" si="49"/>
        <v>68587</v>
      </c>
      <c r="Q320" s="1592">
        <f>SUM(Q308:Q319)</f>
        <v>84110</v>
      </c>
    </row>
    <row r="322" spans="1:17">
      <c r="A322" s="1592" t="s">
        <v>989</v>
      </c>
    </row>
    <row r="323" spans="1:17">
      <c r="A323" s="1591" t="s">
        <v>977</v>
      </c>
      <c r="B323" s="1591" t="s">
        <v>958</v>
      </c>
      <c r="C323" s="1591">
        <v>7</v>
      </c>
      <c r="D323" s="1591">
        <v>23</v>
      </c>
      <c r="E323" s="1591">
        <v>26</v>
      </c>
      <c r="F323" s="1591">
        <v>20</v>
      </c>
      <c r="G323" s="1591">
        <v>46</v>
      </c>
      <c r="H323" s="1591">
        <v>54</v>
      </c>
      <c r="I323" s="1591">
        <v>35</v>
      </c>
      <c r="J323" s="1591">
        <v>37</v>
      </c>
      <c r="K323" s="1591">
        <v>0</v>
      </c>
      <c r="L323" s="1591">
        <v>50</v>
      </c>
      <c r="M323" s="1591">
        <v>333</v>
      </c>
      <c r="N323" s="1591">
        <v>894</v>
      </c>
      <c r="O323" s="1591">
        <v>1741</v>
      </c>
      <c r="P323" s="1591">
        <v>1847</v>
      </c>
      <c r="Q323" s="1592">
        <f t="shared" ref="Q323:Q324" si="50">SUM(C323:P323)</f>
        <v>5113</v>
      </c>
    </row>
    <row r="324" spans="1:17">
      <c r="A324" s="1591" t="s">
        <v>978</v>
      </c>
      <c r="B324" s="1591" t="s">
        <v>958</v>
      </c>
      <c r="C324" s="1591">
        <v>14</v>
      </c>
      <c r="D324" s="1591">
        <v>27</v>
      </c>
      <c r="E324" s="1591">
        <v>52</v>
      </c>
      <c r="F324" s="1591">
        <v>70</v>
      </c>
      <c r="G324" s="1591">
        <v>43</v>
      </c>
      <c r="H324" s="1591">
        <v>57</v>
      </c>
      <c r="I324" s="1591">
        <v>0</v>
      </c>
      <c r="J324" s="1591">
        <v>79</v>
      </c>
      <c r="K324" s="1591">
        <v>42</v>
      </c>
      <c r="L324" s="1591">
        <v>146</v>
      </c>
      <c r="M324" s="1591">
        <v>175</v>
      </c>
      <c r="N324" s="1591">
        <v>321</v>
      </c>
      <c r="O324" s="1591">
        <v>693</v>
      </c>
      <c r="P324" s="1591">
        <v>305</v>
      </c>
      <c r="Q324" s="1592">
        <f t="shared" si="50"/>
        <v>2024</v>
      </c>
    </row>
    <row r="325" spans="1:17">
      <c r="A325" s="1591" t="s">
        <v>979</v>
      </c>
      <c r="B325" s="1591" t="s">
        <v>958</v>
      </c>
      <c r="C325" s="1591">
        <v>15</v>
      </c>
      <c r="D325" s="1591">
        <v>22</v>
      </c>
      <c r="E325" s="1591">
        <v>62</v>
      </c>
      <c r="F325" s="1591">
        <v>36</v>
      </c>
      <c r="G325" s="1591">
        <v>46</v>
      </c>
      <c r="H325" s="1591">
        <v>87</v>
      </c>
      <c r="I325" s="1591">
        <v>0</v>
      </c>
      <c r="J325" s="1591">
        <v>40</v>
      </c>
      <c r="K325" s="1591">
        <v>0</v>
      </c>
      <c r="L325" s="1591">
        <v>0</v>
      </c>
      <c r="M325" s="1591">
        <v>497</v>
      </c>
      <c r="N325" s="1591">
        <v>721</v>
      </c>
      <c r="O325" s="1591">
        <v>549</v>
      </c>
      <c r="P325" s="1591">
        <v>1069</v>
      </c>
      <c r="Q325" s="1592">
        <f>SUM(C325:P325)</f>
        <v>3144</v>
      </c>
    </row>
    <row r="326" spans="1:17">
      <c r="A326" s="1591" t="s">
        <v>980</v>
      </c>
      <c r="B326" s="1591" t="s">
        <v>958</v>
      </c>
      <c r="C326" s="1591">
        <v>12</v>
      </c>
      <c r="D326" s="1591">
        <v>27</v>
      </c>
      <c r="E326" s="1591">
        <v>59</v>
      </c>
      <c r="F326" s="1591">
        <v>0</v>
      </c>
      <c r="G326" s="1591">
        <v>56</v>
      </c>
      <c r="H326" s="1591">
        <v>31</v>
      </c>
      <c r="I326" s="1591">
        <v>0</v>
      </c>
      <c r="J326" s="1591">
        <v>0</v>
      </c>
      <c r="K326" s="1591">
        <v>0</v>
      </c>
      <c r="L326" s="1591">
        <v>100</v>
      </c>
      <c r="M326" s="1591">
        <v>630</v>
      </c>
      <c r="N326" s="1591">
        <v>976</v>
      </c>
      <c r="O326" s="1591">
        <v>431</v>
      </c>
      <c r="P326" s="1591">
        <v>4006</v>
      </c>
      <c r="Q326" s="1592">
        <f>SUM(C326:P326)</f>
        <v>6328</v>
      </c>
    </row>
    <row r="327" spans="1:17">
      <c r="A327" s="1591" t="s">
        <v>981</v>
      </c>
      <c r="B327" s="1591" t="s">
        <v>958</v>
      </c>
      <c r="C327" s="1591">
        <v>0</v>
      </c>
      <c r="D327" s="1591">
        <v>20</v>
      </c>
      <c r="E327" s="1591">
        <v>12</v>
      </c>
      <c r="F327" s="1591">
        <v>39</v>
      </c>
      <c r="G327" s="1591">
        <v>0</v>
      </c>
      <c r="H327" s="1591">
        <v>30</v>
      </c>
      <c r="I327" s="1591">
        <v>96</v>
      </c>
      <c r="J327" s="1591">
        <v>0</v>
      </c>
      <c r="K327" s="1591">
        <v>86</v>
      </c>
      <c r="L327" s="1591">
        <v>98</v>
      </c>
      <c r="M327" s="1591">
        <v>322</v>
      </c>
      <c r="N327" s="1591">
        <v>1234</v>
      </c>
      <c r="O327" s="1591">
        <v>1264</v>
      </c>
      <c r="P327" s="1591">
        <v>3135</v>
      </c>
      <c r="Q327" s="1592">
        <f t="shared" ref="Q327:Q334" si="51">SUM(C327:P327)</f>
        <v>6336</v>
      </c>
    </row>
    <row r="328" spans="1:17">
      <c r="A328" s="1591" t="s">
        <v>982</v>
      </c>
      <c r="B328" s="1591" t="s">
        <v>958</v>
      </c>
      <c r="C328" s="1591">
        <v>2</v>
      </c>
      <c r="D328" s="1591">
        <v>17</v>
      </c>
      <c r="E328" s="1591">
        <v>37</v>
      </c>
      <c r="F328" s="1591">
        <v>0</v>
      </c>
      <c r="G328" s="1591">
        <v>68</v>
      </c>
      <c r="H328" s="1591">
        <v>0</v>
      </c>
      <c r="I328" s="1591">
        <v>67</v>
      </c>
      <c r="J328" s="1591">
        <v>38</v>
      </c>
      <c r="K328" s="1591">
        <v>45</v>
      </c>
      <c r="L328" s="1591">
        <v>0</v>
      </c>
      <c r="M328" s="1591">
        <v>624</v>
      </c>
      <c r="N328" s="1591">
        <v>585</v>
      </c>
      <c r="O328" s="1591">
        <v>1178</v>
      </c>
      <c r="P328" s="1591">
        <v>6045</v>
      </c>
      <c r="Q328" s="1592">
        <f t="shared" si="51"/>
        <v>8706</v>
      </c>
    </row>
    <row r="329" spans="1:17">
      <c r="A329" s="1591" t="s">
        <v>983</v>
      </c>
      <c r="B329" s="1591" t="s">
        <v>958</v>
      </c>
      <c r="C329" s="1591">
        <v>6</v>
      </c>
      <c r="D329" s="1591">
        <v>34</v>
      </c>
      <c r="E329" s="1591">
        <v>27</v>
      </c>
      <c r="F329" s="1591">
        <v>36</v>
      </c>
      <c r="G329" s="1591">
        <v>47</v>
      </c>
      <c r="H329" s="1591">
        <v>81</v>
      </c>
      <c r="I329" s="1591">
        <v>0</v>
      </c>
      <c r="J329" s="1591">
        <v>0</v>
      </c>
      <c r="K329" s="1591">
        <v>0</v>
      </c>
      <c r="L329" s="1591">
        <v>0</v>
      </c>
      <c r="M329" s="1591">
        <v>720</v>
      </c>
      <c r="N329" s="1591">
        <v>567</v>
      </c>
      <c r="O329" s="1591">
        <v>956</v>
      </c>
      <c r="P329" s="1591">
        <v>2019</v>
      </c>
      <c r="Q329" s="1592">
        <f t="shared" si="51"/>
        <v>4493</v>
      </c>
    </row>
    <row r="330" spans="1:17">
      <c r="A330" s="1591" t="s">
        <v>984</v>
      </c>
      <c r="B330" s="1591" t="s">
        <v>958</v>
      </c>
      <c r="C330" s="1591">
        <v>12</v>
      </c>
      <c r="D330" s="1591">
        <v>37</v>
      </c>
      <c r="E330" s="1591">
        <v>14</v>
      </c>
      <c r="F330" s="1591">
        <v>34</v>
      </c>
      <c r="G330" s="1591">
        <v>22</v>
      </c>
      <c r="H330" s="1591">
        <v>58</v>
      </c>
      <c r="I330" s="1591">
        <v>0</v>
      </c>
      <c r="J330" s="1591">
        <v>36</v>
      </c>
      <c r="K330" s="1591">
        <v>0</v>
      </c>
      <c r="L330" s="1591">
        <v>47</v>
      </c>
      <c r="M330" s="1591">
        <v>651</v>
      </c>
      <c r="N330" s="1591">
        <v>592</v>
      </c>
      <c r="O330" s="1591">
        <v>796</v>
      </c>
      <c r="P330" s="1591">
        <v>1918</v>
      </c>
      <c r="Q330" s="1592">
        <f t="shared" si="51"/>
        <v>4217</v>
      </c>
    </row>
    <row r="331" spans="1:17">
      <c r="A331" s="1591" t="s">
        <v>985</v>
      </c>
      <c r="B331" s="1591" t="s">
        <v>958</v>
      </c>
      <c r="C331" s="1591">
        <v>22</v>
      </c>
      <c r="D331" s="1591">
        <v>49</v>
      </c>
      <c r="E331" s="1591">
        <v>29</v>
      </c>
      <c r="F331" s="1591">
        <v>77</v>
      </c>
      <c r="G331" s="1591">
        <v>0</v>
      </c>
      <c r="H331" s="1591">
        <v>0</v>
      </c>
      <c r="I331" s="1591">
        <v>34</v>
      </c>
      <c r="J331" s="1591">
        <v>36</v>
      </c>
      <c r="K331" s="1591">
        <v>0</v>
      </c>
      <c r="L331" s="1591">
        <v>0</v>
      </c>
      <c r="M331" s="1591">
        <v>392</v>
      </c>
      <c r="N331" s="1591">
        <v>744</v>
      </c>
      <c r="O331" s="1591">
        <v>0</v>
      </c>
      <c r="P331" s="1591">
        <v>463</v>
      </c>
      <c r="Q331" s="1592">
        <f t="shared" si="51"/>
        <v>1846</v>
      </c>
    </row>
    <row r="332" spans="1:17">
      <c r="A332" s="1591" t="s">
        <v>986</v>
      </c>
      <c r="B332" s="1591" t="s">
        <v>958</v>
      </c>
      <c r="C332" s="1591">
        <v>0</v>
      </c>
      <c r="D332" s="1591">
        <v>23</v>
      </c>
      <c r="E332" s="1591">
        <v>41</v>
      </c>
      <c r="F332" s="1591">
        <v>34</v>
      </c>
      <c r="G332" s="1591">
        <v>25</v>
      </c>
      <c r="H332" s="1591">
        <v>30</v>
      </c>
      <c r="I332" s="1591">
        <v>0</v>
      </c>
      <c r="J332" s="1591">
        <v>77</v>
      </c>
      <c r="K332" s="1591">
        <v>0</v>
      </c>
      <c r="L332" s="1591">
        <v>0</v>
      </c>
      <c r="M332" s="1591">
        <v>228</v>
      </c>
      <c r="N332" s="1591">
        <v>413</v>
      </c>
      <c r="O332" s="1591">
        <v>548</v>
      </c>
      <c r="P332" s="1591">
        <v>1527</v>
      </c>
      <c r="Q332" s="1592">
        <f t="shared" si="51"/>
        <v>2946</v>
      </c>
    </row>
    <row r="333" spans="1:17">
      <c r="A333" s="1591" t="s">
        <v>987</v>
      </c>
      <c r="B333" s="1591" t="s">
        <v>958</v>
      </c>
      <c r="C333" s="1591">
        <v>0</v>
      </c>
      <c r="D333" s="1591">
        <v>19</v>
      </c>
      <c r="E333" s="1591">
        <v>96</v>
      </c>
      <c r="F333" s="1591">
        <v>30</v>
      </c>
      <c r="G333" s="1591">
        <v>18</v>
      </c>
      <c r="H333" s="1591">
        <v>0</v>
      </c>
      <c r="I333" s="1591">
        <v>66</v>
      </c>
      <c r="J333" s="1591">
        <v>0</v>
      </c>
      <c r="K333" s="1591">
        <v>0</v>
      </c>
      <c r="L333" s="1591">
        <v>48</v>
      </c>
      <c r="M333" s="1591">
        <v>246</v>
      </c>
      <c r="N333" s="1591">
        <v>400</v>
      </c>
      <c r="O333" s="1591">
        <v>0</v>
      </c>
      <c r="P333" s="1591">
        <v>682</v>
      </c>
      <c r="Q333" s="1592">
        <f t="shared" si="51"/>
        <v>1605</v>
      </c>
    </row>
    <row r="334" spans="1:17">
      <c r="A334" s="1591" t="s">
        <v>988</v>
      </c>
      <c r="B334" s="1591" t="s">
        <v>958</v>
      </c>
      <c r="C334" s="1591">
        <v>0</v>
      </c>
      <c r="D334" s="1591">
        <v>38</v>
      </c>
      <c r="E334" s="1591">
        <v>79</v>
      </c>
      <c r="F334" s="1591">
        <v>20</v>
      </c>
      <c r="G334" s="1591">
        <v>22</v>
      </c>
      <c r="H334" s="1591">
        <v>30</v>
      </c>
      <c r="I334" s="1591">
        <v>33</v>
      </c>
      <c r="J334" s="1591">
        <v>0</v>
      </c>
      <c r="K334" s="1591">
        <v>0</v>
      </c>
      <c r="L334" s="1591">
        <v>99</v>
      </c>
      <c r="M334" s="1591">
        <v>198</v>
      </c>
      <c r="N334" s="1591">
        <v>411</v>
      </c>
      <c r="O334" s="1591">
        <v>0</v>
      </c>
      <c r="P334" s="1591">
        <v>1303</v>
      </c>
      <c r="Q334" s="1592">
        <f t="shared" si="51"/>
        <v>2233</v>
      </c>
    </row>
    <row r="335" spans="1:17" s="1592" customFormat="1">
      <c r="B335" s="1591" t="s">
        <v>958</v>
      </c>
      <c r="C335" s="1592">
        <f>SUM(C323:C334)</f>
        <v>90</v>
      </c>
      <c r="D335" s="1592">
        <f t="shared" ref="D335:O335" si="52">SUM(D323:D334)</f>
        <v>336</v>
      </c>
      <c r="E335" s="1592">
        <f t="shared" si="52"/>
        <v>534</v>
      </c>
      <c r="F335" s="1592">
        <f t="shared" si="52"/>
        <v>396</v>
      </c>
      <c r="G335" s="1592">
        <f t="shared" si="52"/>
        <v>393</v>
      </c>
      <c r="H335" s="1592">
        <f t="shared" si="52"/>
        <v>458</v>
      </c>
      <c r="I335" s="1592">
        <f t="shared" si="52"/>
        <v>331</v>
      </c>
      <c r="J335" s="1592">
        <f t="shared" si="52"/>
        <v>343</v>
      </c>
      <c r="K335" s="1592">
        <f t="shared" si="52"/>
        <v>173</v>
      </c>
      <c r="L335" s="1592">
        <f t="shared" si="52"/>
        <v>588</v>
      </c>
      <c r="M335" s="1592">
        <f t="shared" si="52"/>
        <v>5016</v>
      </c>
      <c r="N335" s="1592">
        <f t="shared" si="52"/>
        <v>7858</v>
      </c>
      <c r="O335" s="1592">
        <f t="shared" si="52"/>
        <v>8156</v>
      </c>
      <c r="P335" s="1592">
        <f>SUM(P323:P334)</f>
        <v>24319</v>
      </c>
      <c r="Q335" s="1592">
        <f>SUM(Q323:Q334)</f>
        <v>48991</v>
      </c>
    </row>
    <row r="337" spans="1:17">
      <c r="A337" s="1592" t="s">
        <v>995</v>
      </c>
    </row>
    <row r="338" spans="1:17">
      <c r="A338" s="1591" t="s">
        <v>977</v>
      </c>
      <c r="B338" s="1591" t="s">
        <v>958</v>
      </c>
      <c r="C338" s="1591">
        <v>12</v>
      </c>
      <c r="D338" s="1591">
        <v>26</v>
      </c>
      <c r="E338" s="1591">
        <v>38</v>
      </c>
      <c r="F338" s="1591">
        <v>20</v>
      </c>
      <c r="G338" s="1591">
        <v>22</v>
      </c>
      <c r="H338" s="1591">
        <v>0</v>
      </c>
      <c r="I338" s="1591">
        <v>0</v>
      </c>
      <c r="J338" s="1591">
        <v>0</v>
      </c>
      <c r="K338" s="1591">
        <v>0</v>
      </c>
      <c r="L338" s="1591">
        <v>0</v>
      </c>
      <c r="M338" s="1591">
        <v>0</v>
      </c>
      <c r="N338" s="1591">
        <v>0</v>
      </c>
      <c r="O338" s="1591">
        <v>215</v>
      </c>
      <c r="P338" s="1591">
        <v>500</v>
      </c>
      <c r="Q338" s="1592">
        <f t="shared" ref="Q338:Q339" si="53">SUM(C338:P338)</f>
        <v>833</v>
      </c>
    </row>
    <row r="339" spans="1:17">
      <c r="A339" s="1591" t="s">
        <v>978</v>
      </c>
      <c r="B339" s="1591" t="s">
        <v>958</v>
      </c>
      <c r="C339" s="1591">
        <v>2</v>
      </c>
      <c r="D339" s="1591">
        <v>13</v>
      </c>
      <c r="E339" s="1591">
        <v>25</v>
      </c>
      <c r="F339" s="1591">
        <v>56</v>
      </c>
      <c r="G339" s="1591">
        <v>0</v>
      </c>
      <c r="H339" s="1591">
        <v>27</v>
      </c>
      <c r="I339" s="1591">
        <v>0</v>
      </c>
      <c r="J339" s="1591">
        <v>0</v>
      </c>
      <c r="K339" s="1591">
        <v>0</v>
      </c>
      <c r="L339" s="1591">
        <v>49</v>
      </c>
      <c r="M339" s="1591">
        <v>0</v>
      </c>
      <c r="N339" s="1591">
        <v>145</v>
      </c>
      <c r="O339" s="1591">
        <v>0</v>
      </c>
      <c r="P339" s="1591">
        <v>0</v>
      </c>
      <c r="Q339" s="1592">
        <f t="shared" si="53"/>
        <v>317</v>
      </c>
    </row>
    <row r="340" spans="1:17">
      <c r="A340" s="1591" t="s">
        <v>979</v>
      </c>
      <c r="B340" s="1591" t="s">
        <v>958</v>
      </c>
      <c r="C340" s="1591">
        <v>13</v>
      </c>
      <c r="D340" s="1591">
        <v>30</v>
      </c>
      <c r="E340" s="1591">
        <v>26</v>
      </c>
      <c r="F340" s="1591">
        <v>35</v>
      </c>
      <c r="G340" s="1591">
        <v>0</v>
      </c>
      <c r="H340" s="1591">
        <v>0</v>
      </c>
      <c r="I340" s="1591">
        <v>0</v>
      </c>
      <c r="J340" s="1591">
        <v>0</v>
      </c>
      <c r="K340" s="1591">
        <v>0</v>
      </c>
      <c r="L340" s="1591">
        <v>94</v>
      </c>
      <c r="M340" s="1591">
        <v>154</v>
      </c>
      <c r="N340" s="1591">
        <v>0</v>
      </c>
      <c r="O340" s="1591">
        <v>0</v>
      </c>
      <c r="P340" s="1591">
        <v>0</v>
      </c>
      <c r="Q340" s="1592">
        <f>SUM(C340:P340)</f>
        <v>352</v>
      </c>
    </row>
    <row r="341" spans="1:17">
      <c r="A341" s="1591" t="s">
        <v>980</v>
      </c>
      <c r="B341" s="1591" t="s">
        <v>958</v>
      </c>
      <c r="C341" s="1591">
        <v>2</v>
      </c>
      <c r="D341" s="1591">
        <v>27</v>
      </c>
      <c r="E341" s="1591">
        <v>24</v>
      </c>
      <c r="F341" s="1591">
        <v>17</v>
      </c>
      <c r="G341" s="1591">
        <v>0</v>
      </c>
      <c r="H341" s="1591">
        <v>52</v>
      </c>
      <c r="I341" s="1591">
        <v>35</v>
      </c>
      <c r="J341" s="1591">
        <v>36</v>
      </c>
      <c r="K341" s="1591">
        <v>0</v>
      </c>
      <c r="L341" s="1591">
        <v>47</v>
      </c>
      <c r="M341" s="1591">
        <v>70</v>
      </c>
      <c r="N341" s="1591">
        <v>154</v>
      </c>
      <c r="O341" s="1591">
        <v>0</v>
      </c>
      <c r="P341" s="1591">
        <v>308</v>
      </c>
      <c r="Q341" s="1592">
        <f>SUM(C341:P341)</f>
        <v>772</v>
      </c>
    </row>
    <row r="342" spans="1:17">
      <c r="A342" s="1591" t="s">
        <v>981</v>
      </c>
      <c r="B342" s="1591" t="s">
        <v>958</v>
      </c>
      <c r="C342" s="1591">
        <v>9</v>
      </c>
      <c r="D342" s="1591">
        <v>20</v>
      </c>
      <c r="E342" s="1591">
        <v>0</v>
      </c>
      <c r="F342" s="1591">
        <v>34</v>
      </c>
      <c r="G342" s="1591">
        <v>23</v>
      </c>
      <c r="H342" s="1591">
        <v>0</v>
      </c>
      <c r="I342" s="1591">
        <v>31</v>
      </c>
      <c r="J342" s="1591">
        <v>0</v>
      </c>
      <c r="K342" s="1591">
        <v>43</v>
      </c>
      <c r="L342" s="1591">
        <v>0</v>
      </c>
      <c r="M342" s="1591">
        <v>186</v>
      </c>
      <c r="N342" s="1591">
        <v>297</v>
      </c>
      <c r="O342" s="1591">
        <v>0</v>
      </c>
      <c r="P342" s="1591">
        <v>306</v>
      </c>
      <c r="Q342" s="1592">
        <f t="shared" ref="Q342:Q349" si="54">SUM(C342:P342)</f>
        <v>949</v>
      </c>
    </row>
    <row r="343" spans="1:17">
      <c r="A343" s="1591" t="s">
        <v>982</v>
      </c>
      <c r="B343" s="1591" t="s">
        <v>958</v>
      </c>
      <c r="C343" s="1591">
        <v>4</v>
      </c>
      <c r="D343" s="1591">
        <v>12</v>
      </c>
      <c r="E343" s="1591">
        <v>41</v>
      </c>
      <c r="F343" s="1591">
        <v>0</v>
      </c>
      <c r="G343" s="1591">
        <v>47</v>
      </c>
      <c r="H343" s="1591">
        <v>0</v>
      </c>
      <c r="I343" s="1591">
        <v>0</v>
      </c>
      <c r="J343" s="1591">
        <v>36</v>
      </c>
      <c r="K343" s="1591">
        <v>0</v>
      </c>
      <c r="L343" s="1591">
        <v>46</v>
      </c>
      <c r="M343" s="1591">
        <v>0</v>
      </c>
      <c r="N343" s="1591">
        <v>142</v>
      </c>
      <c r="O343" s="1591">
        <v>266</v>
      </c>
      <c r="P343" s="1591">
        <v>0</v>
      </c>
      <c r="Q343" s="1592">
        <f t="shared" si="54"/>
        <v>594</v>
      </c>
    </row>
    <row r="344" spans="1:17">
      <c r="A344" s="1591" t="s">
        <v>983</v>
      </c>
      <c r="B344" s="1591" t="s">
        <v>958</v>
      </c>
      <c r="C344" s="1591">
        <v>5</v>
      </c>
      <c r="D344" s="1591">
        <v>25</v>
      </c>
      <c r="E344" s="1591">
        <v>29</v>
      </c>
      <c r="F344" s="1591">
        <v>0</v>
      </c>
      <c r="G344" s="1591">
        <v>0</v>
      </c>
      <c r="H344" s="1591">
        <v>0</v>
      </c>
      <c r="I344" s="1591">
        <v>0</v>
      </c>
      <c r="J344" s="1591">
        <v>37</v>
      </c>
      <c r="K344" s="1591">
        <v>41</v>
      </c>
      <c r="L344" s="1591">
        <v>50</v>
      </c>
      <c r="M344" s="1591">
        <v>0</v>
      </c>
      <c r="N344" s="1591">
        <v>265</v>
      </c>
      <c r="O344" s="1591">
        <v>0</v>
      </c>
      <c r="P344" s="1591">
        <v>0</v>
      </c>
      <c r="Q344" s="1592">
        <f t="shared" si="54"/>
        <v>452</v>
      </c>
    </row>
    <row r="345" spans="1:17">
      <c r="A345" s="1591" t="s">
        <v>984</v>
      </c>
      <c r="B345" s="1591" t="s">
        <v>958</v>
      </c>
      <c r="C345" s="1591">
        <v>13</v>
      </c>
      <c r="D345" s="1591">
        <v>10</v>
      </c>
      <c r="E345" s="1591">
        <v>27</v>
      </c>
      <c r="F345" s="1591">
        <v>0</v>
      </c>
      <c r="G345" s="1591">
        <v>0</v>
      </c>
      <c r="H345" s="1591">
        <v>0</v>
      </c>
      <c r="I345" s="1591">
        <v>31</v>
      </c>
      <c r="J345" s="1591">
        <v>40</v>
      </c>
      <c r="K345" s="1591">
        <v>42</v>
      </c>
      <c r="L345" s="1591">
        <v>0</v>
      </c>
      <c r="M345" s="1591">
        <v>0</v>
      </c>
      <c r="N345" s="1591">
        <v>181</v>
      </c>
      <c r="O345" s="1591">
        <v>276</v>
      </c>
      <c r="P345" s="1591">
        <v>0</v>
      </c>
      <c r="Q345" s="1592">
        <f t="shared" si="54"/>
        <v>620</v>
      </c>
    </row>
    <row r="346" spans="1:17">
      <c r="A346" s="1591" t="s">
        <v>985</v>
      </c>
      <c r="B346" s="1591" t="s">
        <v>958</v>
      </c>
      <c r="C346" s="1591">
        <v>15</v>
      </c>
      <c r="D346" s="1591">
        <v>25</v>
      </c>
      <c r="E346" s="1591">
        <v>12</v>
      </c>
      <c r="F346" s="1591">
        <v>18</v>
      </c>
      <c r="G346" s="1591">
        <v>29</v>
      </c>
      <c r="H346" s="1591">
        <v>0</v>
      </c>
      <c r="I346" s="1591">
        <v>0</v>
      </c>
      <c r="J346" s="1591">
        <v>0</v>
      </c>
      <c r="K346" s="1591">
        <v>0</v>
      </c>
      <c r="L346" s="1591">
        <v>0</v>
      </c>
      <c r="M346" s="1591">
        <v>0</v>
      </c>
      <c r="N346" s="1591">
        <v>166</v>
      </c>
      <c r="O346" s="1591">
        <v>214</v>
      </c>
      <c r="P346" s="1591">
        <v>0</v>
      </c>
      <c r="Q346" s="1592">
        <f t="shared" si="54"/>
        <v>479</v>
      </c>
    </row>
    <row r="347" spans="1:17">
      <c r="A347" s="1591" t="s">
        <v>986</v>
      </c>
      <c r="B347" s="1591" t="s">
        <v>958</v>
      </c>
      <c r="C347" s="1591">
        <v>4</v>
      </c>
      <c r="D347" s="1591">
        <v>50</v>
      </c>
      <c r="E347" s="1591">
        <v>11</v>
      </c>
      <c r="F347" s="1591">
        <v>16</v>
      </c>
      <c r="G347" s="1591">
        <v>21</v>
      </c>
      <c r="H347" s="1591">
        <v>0</v>
      </c>
      <c r="I347" s="1591">
        <v>32</v>
      </c>
      <c r="J347" s="1591">
        <v>0</v>
      </c>
      <c r="K347" s="1591">
        <v>0</v>
      </c>
      <c r="L347" s="1591">
        <v>0</v>
      </c>
      <c r="M347" s="1591">
        <v>0</v>
      </c>
      <c r="N347" s="1591">
        <v>0</v>
      </c>
      <c r="O347" s="1591">
        <v>0</v>
      </c>
      <c r="P347" s="1591">
        <v>0</v>
      </c>
      <c r="Q347" s="1592">
        <f t="shared" si="54"/>
        <v>134</v>
      </c>
    </row>
    <row r="348" spans="1:17">
      <c r="A348" s="1591" t="s">
        <v>987</v>
      </c>
      <c r="B348" s="1591" t="s">
        <v>958</v>
      </c>
      <c r="C348" s="1591">
        <v>1</v>
      </c>
      <c r="D348" s="1591">
        <v>36</v>
      </c>
      <c r="E348" s="1591">
        <v>13</v>
      </c>
      <c r="F348" s="1591">
        <v>37</v>
      </c>
      <c r="G348" s="1591">
        <v>0</v>
      </c>
      <c r="H348" s="1591">
        <v>0</v>
      </c>
      <c r="I348" s="1591">
        <v>0</v>
      </c>
      <c r="J348" s="1591">
        <v>0</v>
      </c>
      <c r="K348" s="1591">
        <v>0</v>
      </c>
      <c r="L348" s="1591">
        <v>48</v>
      </c>
      <c r="M348" s="1591">
        <v>0</v>
      </c>
      <c r="N348" s="1591">
        <v>162</v>
      </c>
      <c r="O348" s="1591">
        <v>0</v>
      </c>
      <c r="P348" s="1591">
        <v>0</v>
      </c>
      <c r="Q348" s="1592">
        <f t="shared" si="54"/>
        <v>297</v>
      </c>
    </row>
    <row r="349" spans="1:17">
      <c r="A349" s="1591" t="s">
        <v>988</v>
      </c>
      <c r="B349" s="1591" t="s">
        <v>958</v>
      </c>
      <c r="C349" s="1591">
        <v>6</v>
      </c>
      <c r="D349" s="1591">
        <v>28</v>
      </c>
      <c r="E349" s="1591">
        <v>0</v>
      </c>
      <c r="F349" s="1591">
        <v>34</v>
      </c>
      <c r="G349" s="1591">
        <v>0</v>
      </c>
      <c r="H349" s="1591">
        <v>27</v>
      </c>
      <c r="I349" s="1591">
        <v>0</v>
      </c>
      <c r="J349" s="1591">
        <v>38</v>
      </c>
      <c r="K349" s="1591">
        <v>0</v>
      </c>
      <c r="L349" s="1591">
        <v>0</v>
      </c>
      <c r="M349" s="1591">
        <v>0</v>
      </c>
      <c r="N349" s="1591">
        <v>0</v>
      </c>
      <c r="O349" s="1591">
        <v>0</v>
      </c>
      <c r="P349" s="1591">
        <v>0</v>
      </c>
      <c r="Q349" s="1592">
        <f t="shared" si="54"/>
        <v>133</v>
      </c>
    </row>
    <row r="350" spans="1:17" s="1592" customFormat="1">
      <c r="B350" s="1591" t="s">
        <v>958</v>
      </c>
      <c r="C350" s="1592">
        <f>SUM(C338:C349)</f>
        <v>86</v>
      </c>
      <c r="D350" s="1592">
        <f t="shared" ref="D350:O350" si="55">SUM(D338:D349)</f>
        <v>302</v>
      </c>
      <c r="E350" s="1592">
        <f t="shared" si="55"/>
        <v>246</v>
      </c>
      <c r="F350" s="1592">
        <f t="shared" si="55"/>
        <v>267</v>
      </c>
      <c r="G350" s="1592">
        <f t="shared" si="55"/>
        <v>142</v>
      </c>
      <c r="H350" s="1592">
        <f t="shared" si="55"/>
        <v>106</v>
      </c>
      <c r="I350" s="1592">
        <f t="shared" si="55"/>
        <v>129</v>
      </c>
      <c r="J350" s="1592">
        <f t="shared" si="55"/>
        <v>187</v>
      </c>
      <c r="K350" s="1592">
        <f t="shared" si="55"/>
        <v>126</v>
      </c>
      <c r="L350" s="1592">
        <f t="shared" si="55"/>
        <v>334</v>
      </c>
      <c r="M350" s="1592">
        <f t="shared" si="55"/>
        <v>410</v>
      </c>
      <c r="N350" s="1592">
        <f t="shared" si="55"/>
        <v>1512</v>
      </c>
      <c r="O350" s="1592">
        <f t="shared" si="55"/>
        <v>971</v>
      </c>
      <c r="P350" s="1592">
        <f>SUM(P338:P349)</f>
        <v>1114</v>
      </c>
      <c r="Q350" s="1592">
        <f>SUM(Q338:Q349)</f>
        <v>5932</v>
      </c>
    </row>
    <row r="352" spans="1:17">
      <c r="A352" s="1592" t="s">
        <v>991</v>
      </c>
      <c r="C352" s="1591" t="s">
        <v>960</v>
      </c>
      <c r="D352" s="1591" t="s">
        <v>961</v>
      </c>
      <c r="E352" s="1591" t="s">
        <v>962</v>
      </c>
      <c r="F352" s="1591" t="s">
        <v>963</v>
      </c>
      <c r="G352" s="1591" t="s">
        <v>964</v>
      </c>
      <c r="H352" s="1591" t="s">
        <v>965</v>
      </c>
      <c r="I352" s="1591" t="s">
        <v>966</v>
      </c>
      <c r="J352" s="1591" t="s">
        <v>967</v>
      </c>
      <c r="K352" s="1591" t="s">
        <v>968</v>
      </c>
      <c r="L352" s="1591" t="s">
        <v>969</v>
      </c>
      <c r="M352" s="1591" t="s">
        <v>970</v>
      </c>
      <c r="N352" s="1591" t="s">
        <v>971</v>
      </c>
      <c r="O352" s="1591" t="s">
        <v>972</v>
      </c>
      <c r="P352" s="1591" t="s">
        <v>973</v>
      </c>
      <c r="Q352" s="1592" t="s">
        <v>22</v>
      </c>
    </row>
    <row r="353" spans="1:18">
      <c r="A353" s="1591" t="s">
        <v>977</v>
      </c>
      <c r="B353" s="1591" t="s">
        <v>958</v>
      </c>
      <c r="C353" s="1591">
        <v>2</v>
      </c>
      <c r="D353" s="1591">
        <v>14</v>
      </c>
      <c r="E353" s="1591">
        <v>14</v>
      </c>
      <c r="F353" s="1591">
        <v>0</v>
      </c>
      <c r="G353" s="1591">
        <v>0</v>
      </c>
      <c r="H353" s="1591">
        <v>0</v>
      </c>
      <c r="I353" s="1591">
        <v>0</v>
      </c>
      <c r="J353" s="1591">
        <v>0</v>
      </c>
      <c r="K353" s="1591">
        <v>0</v>
      </c>
      <c r="L353" s="1591">
        <v>0</v>
      </c>
      <c r="M353" s="1591">
        <v>100</v>
      </c>
      <c r="N353" s="1591">
        <v>0</v>
      </c>
      <c r="O353" s="1591">
        <v>250</v>
      </c>
      <c r="P353" s="1591">
        <v>2661</v>
      </c>
      <c r="Q353" s="1592">
        <f t="shared" ref="Q353:Q354" si="56">SUM(C353:P353)</f>
        <v>3041</v>
      </c>
    </row>
    <row r="354" spans="1:18">
      <c r="A354" s="1591" t="s">
        <v>978</v>
      </c>
      <c r="B354" s="1591" t="s">
        <v>958</v>
      </c>
      <c r="C354" s="1591">
        <v>4</v>
      </c>
      <c r="D354" s="1591">
        <v>21</v>
      </c>
      <c r="E354" s="1591">
        <v>0</v>
      </c>
      <c r="F354" s="1591">
        <v>0</v>
      </c>
      <c r="G354" s="1591">
        <v>0</v>
      </c>
      <c r="H354" s="1591">
        <v>0</v>
      </c>
      <c r="I354" s="1591">
        <v>0</v>
      </c>
      <c r="J354" s="1591">
        <v>0</v>
      </c>
      <c r="K354" s="1591">
        <v>0</v>
      </c>
      <c r="L354" s="1591">
        <v>50</v>
      </c>
      <c r="M354" s="1591">
        <v>198</v>
      </c>
      <c r="N354" s="1591">
        <v>0</v>
      </c>
      <c r="O354" s="1591">
        <v>0</v>
      </c>
      <c r="P354" s="1591">
        <v>1687</v>
      </c>
      <c r="Q354" s="1592">
        <f t="shared" si="56"/>
        <v>1960</v>
      </c>
    </row>
    <row r="355" spans="1:18">
      <c r="A355" s="1591" t="s">
        <v>979</v>
      </c>
      <c r="B355" s="1591" t="s">
        <v>958</v>
      </c>
      <c r="C355" s="1591">
        <v>7</v>
      </c>
      <c r="D355" s="1591">
        <v>25</v>
      </c>
      <c r="E355" s="1591">
        <v>0</v>
      </c>
      <c r="F355" s="1591">
        <v>0</v>
      </c>
      <c r="G355" s="1591">
        <v>0</v>
      </c>
      <c r="H355" s="1591">
        <v>0</v>
      </c>
      <c r="I355" s="1591">
        <v>0</v>
      </c>
      <c r="J355" s="1591">
        <v>0</v>
      </c>
      <c r="K355" s="1591">
        <v>0</v>
      </c>
      <c r="L355" s="1591">
        <v>0</v>
      </c>
      <c r="M355" s="1591">
        <v>100</v>
      </c>
      <c r="N355" s="1591">
        <v>0</v>
      </c>
      <c r="O355" s="1591">
        <v>0</v>
      </c>
      <c r="P355" s="1591">
        <v>1993</v>
      </c>
      <c r="Q355" s="1592">
        <f>SUM(C355:P355)</f>
        <v>2125</v>
      </c>
    </row>
    <row r="356" spans="1:18">
      <c r="A356" s="1591" t="s">
        <v>980</v>
      </c>
      <c r="B356" s="1591" t="s">
        <v>958</v>
      </c>
      <c r="C356" s="1591">
        <v>0</v>
      </c>
      <c r="D356" s="1591">
        <v>20</v>
      </c>
      <c r="E356" s="1591">
        <v>0</v>
      </c>
      <c r="F356" s="1591">
        <v>0</v>
      </c>
      <c r="G356" s="1591">
        <v>0</v>
      </c>
      <c r="H356" s="1591">
        <v>0</v>
      </c>
      <c r="I356" s="1591">
        <v>31</v>
      </c>
      <c r="J356" s="1591">
        <v>0</v>
      </c>
      <c r="K356" s="1591">
        <v>0</v>
      </c>
      <c r="L356" s="1591">
        <v>0</v>
      </c>
      <c r="M356" s="1591">
        <v>62</v>
      </c>
      <c r="N356" s="1591">
        <v>200</v>
      </c>
      <c r="O356" s="1591">
        <v>0</v>
      </c>
      <c r="P356" s="1591">
        <v>3348</v>
      </c>
      <c r="Q356" s="1592">
        <f>SUM(C356:P356)</f>
        <v>3661</v>
      </c>
    </row>
    <row r="357" spans="1:18">
      <c r="A357" s="1591" t="s">
        <v>981</v>
      </c>
      <c r="B357" s="1591" t="s">
        <v>958</v>
      </c>
      <c r="C357" s="1591">
        <v>0</v>
      </c>
      <c r="D357" s="1591">
        <v>18</v>
      </c>
      <c r="E357" s="1591">
        <v>0</v>
      </c>
      <c r="F357" s="1591">
        <v>0</v>
      </c>
      <c r="G357" s="1591">
        <v>0</v>
      </c>
      <c r="H357" s="1591">
        <v>0</v>
      </c>
      <c r="I357" s="1591">
        <v>0</v>
      </c>
      <c r="J357" s="1591">
        <v>0</v>
      </c>
      <c r="K357" s="1591">
        <v>0</v>
      </c>
      <c r="L357" s="1591">
        <v>0</v>
      </c>
      <c r="M357" s="1591">
        <v>172</v>
      </c>
      <c r="N357" s="1591">
        <v>190</v>
      </c>
      <c r="O357" s="1591">
        <v>0</v>
      </c>
      <c r="P357" s="1591">
        <v>4048</v>
      </c>
      <c r="Q357" s="1592">
        <f t="shared" ref="Q357:Q364" si="57">SUM(C357:P357)</f>
        <v>4428</v>
      </c>
    </row>
    <row r="358" spans="1:18">
      <c r="A358" s="1591" t="s">
        <v>982</v>
      </c>
      <c r="B358" s="1591" t="s">
        <v>958</v>
      </c>
      <c r="C358" s="1591">
        <v>4</v>
      </c>
      <c r="D358" s="1591">
        <v>22</v>
      </c>
      <c r="E358" s="1591">
        <v>0</v>
      </c>
      <c r="F358" s="1591">
        <v>0</v>
      </c>
      <c r="G358" s="1591">
        <v>0</v>
      </c>
      <c r="H358" s="1591">
        <v>0</v>
      </c>
      <c r="I358" s="1591">
        <v>0</v>
      </c>
      <c r="J358" s="1591">
        <v>0</v>
      </c>
      <c r="K358" s="1591">
        <v>0</v>
      </c>
      <c r="L358" s="1591">
        <v>0</v>
      </c>
      <c r="M358" s="1591">
        <v>163</v>
      </c>
      <c r="N358" s="1591">
        <v>0</v>
      </c>
      <c r="O358" s="1591">
        <v>252</v>
      </c>
      <c r="P358" s="1591">
        <v>3106</v>
      </c>
      <c r="Q358" s="1592">
        <f t="shared" si="57"/>
        <v>3547</v>
      </c>
    </row>
    <row r="359" spans="1:18">
      <c r="A359" s="1591" t="s">
        <v>983</v>
      </c>
      <c r="B359" s="1591" t="s">
        <v>958</v>
      </c>
      <c r="C359" s="1591">
        <v>3</v>
      </c>
      <c r="D359" s="1591">
        <v>36</v>
      </c>
      <c r="E359" s="1591">
        <v>0</v>
      </c>
      <c r="F359" s="1591">
        <v>0</v>
      </c>
      <c r="G359" s="1591">
        <v>0</v>
      </c>
      <c r="H359" s="1591">
        <v>29</v>
      </c>
      <c r="I359" s="1591">
        <v>0</v>
      </c>
      <c r="J359" s="1591">
        <v>0</v>
      </c>
      <c r="K359" s="1591">
        <v>0</v>
      </c>
      <c r="L359" s="1591">
        <v>0</v>
      </c>
      <c r="M359" s="1591">
        <v>0</v>
      </c>
      <c r="N359" s="1591">
        <v>0</v>
      </c>
      <c r="O359" s="1591">
        <v>201</v>
      </c>
      <c r="P359" s="1591">
        <v>944</v>
      </c>
      <c r="Q359" s="1592">
        <f t="shared" si="57"/>
        <v>1213</v>
      </c>
    </row>
    <row r="360" spans="1:18">
      <c r="A360" s="1591" t="s">
        <v>984</v>
      </c>
      <c r="B360" s="1591" t="s">
        <v>958</v>
      </c>
      <c r="C360" s="1591">
        <v>2</v>
      </c>
      <c r="D360" s="1591">
        <v>36</v>
      </c>
      <c r="E360" s="1591">
        <v>0</v>
      </c>
      <c r="F360" s="1591">
        <v>17</v>
      </c>
      <c r="G360" s="1591">
        <v>0</v>
      </c>
      <c r="H360" s="1591">
        <v>0</v>
      </c>
      <c r="I360" s="1591">
        <v>0</v>
      </c>
      <c r="J360" s="1591">
        <v>0</v>
      </c>
      <c r="K360" s="1591">
        <v>0</v>
      </c>
      <c r="L360" s="1591">
        <v>0</v>
      </c>
      <c r="M360" s="1591">
        <v>0</v>
      </c>
      <c r="N360" s="1591">
        <v>188</v>
      </c>
      <c r="O360" s="1591">
        <v>220</v>
      </c>
      <c r="P360" s="1591">
        <v>1186</v>
      </c>
      <c r="Q360" s="1592">
        <f t="shared" si="57"/>
        <v>1649</v>
      </c>
    </row>
    <row r="361" spans="1:18">
      <c r="A361" s="1591" t="s">
        <v>985</v>
      </c>
      <c r="B361" s="1591" t="s">
        <v>958</v>
      </c>
      <c r="C361" s="1591">
        <v>8</v>
      </c>
      <c r="D361" s="1591">
        <v>6</v>
      </c>
      <c r="E361" s="1591">
        <v>0</v>
      </c>
      <c r="F361" s="1591">
        <v>0</v>
      </c>
      <c r="G361" s="1591">
        <v>22</v>
      </c>
      <c r="H361" s="1591">
        <v>0</v>
      </c>
      <c r="I361" s="1591">
        <v>0</v>
      </c>
      <c r="J361" s="1591">
        <v>40</v>
      </c>
      <c r="K361" s="1591">
        <v>0</v>
      </c>
      <c r="L361" s="1591">
        <v>0</v>
      </c>
      <c r="M361" s="1591">
        <v>75</v>
      </c>
      <c r="N361" s="1591">
        <v>161</v>
      </c>
      <c r="O361" s="1591">
        <v>0</v>
      </c>
      <c r="P361" s="1591">
        <v>1570</v>
      </c>
      <c r="Q361" s="1592">
        <f t="shared" si="57"/>
        <v>1882</v>
      </c>
    </row>
    <row r="362" spans="1:18">
      <c r="A362" s="1591" t="s">
        <v>986</v>
      </c>
      <c r="B362" s="1591" t="s">
        <v>958</v>
      </c>
      <c r="C362" s="1591">
        <v>6</v>
      </c>
      <c r="D362" s="1591">
        <v>24</v>
      </c>
      <c r="E362" s="1591">
        <v>0</v>
      </c>
      <c r="F362" s="1591">
        <v>0</v>
      </c>
      <c r="G362" s="1591">
        <v>0</v>
      </c>
      <c r="H362" s="1591">
        <v>0</v>
      </c>
      <c r="I362" s="1591">
        <v>0</v>
      </c>
      <c r="J362" s="1591">
        <v>0</v>
      </c>
      <c r="K362" s="1591">
        <v>0</v>
      </c>
      <c r="L362" s="1591">
        <v>0</v>
      </c>
      <c r="M362" s="1591">
        <v>0</v>
      </c>
      <c r="N362" s="1591">
        <v>109</v>
      </c>
      <c r="O362" s="1591">
        <v>0</v>
      </c>
      <c r="P362" s="1591">
        <v>1544</v>
      </c>
      <c r="Q362" s="1592">
        <f t="shared" si="57"/>
        <v>1683</v>
      </c>
    </row>
    <row r="363" spans="1:18">
      <c r="A363" s="1591" t="s">
        <v>987</v>
      </c>
      <c r="B363" s="1591" t="s">
        <v>958</v>
      </c>
      <c r="C363" s="1591">
        <v>3</v>
      </c>
      <c r="D363" s="1591">
        <v>40</v>
      </c>
      <c r="E363" s="1591">
        <v>0</v>
      </c>
      <c r="F363" s="1591">
        <v>0</v>
      </c>
      <c r="G363" s="1591">
        <v>0</v>
      </c>
      <c r="H363" s="1591">
        <v>0</v>
      </c>
      <c r="I363" s="1591">
        <v>0</v>
      </c>
      <c r="J363" s="1591">
        <v>0</v>
      </c>
      <c r="K363" s="1591">
        <v>0</v>
      </c>
      <c r="L363" s="1591">
        <v>0</v>
      </c>
      <c r="M363" s="1591">
        <v>67</v>
      </c>
      <c r="N363" s="1591">
        <v>0</v>
      </c>
      <c r="O363" s="1591">
        <v>0</v>
      </c>
      <c r="P363" s="1591">
        <v>372</v>
      </c>
      <c r="Q363" s="1592">
        <f t="shared" si="57"/>
        <v>482</v>
      </c>
    </row>
    <row r="364" spans="1:18">
      <c r="A364" s="1591" t="s">
        <v>988</v>
      </c>
      <c r="B364" s="1591" t="s">
        <v>958</v>
      </c>
      <c r="C364" s="1591">
        <v>8</v>
      </c>
      <c r="D364" s="1591">
        <v>33</v>
      </c>
      <c r="E364" s="1591">
        <v>0</v>
      </c>
      <c r="F364" s="1591">
        <v>0</v>
      </c>
      <c r="G364" s="1591">
        <v>0</v>
      </c>
      <c r="H364" s="1591">
        <v>0</v>
      </c>
      <c r="I364" s="1591">
        <v>0</v>
      </c>
      <c r="J364" s="1591">
        <v>37</v>
      </c>
      <c r="K364" s="1591">
        <v>0</v>
      </c>
      <c r="L364" s="1591">
        <v>0</v>
      </c>
      <c r="M364" s="1591">
        <v>0</v>
      </c>
      <c r="N364" s="1591">
        <v>0</v>
      </c>
      <c r="O364" s="1591">
        <v>0</v>
      </c>
      <c r="P364" s="1591">
        <v>303</v>
      </c>
      <c r="Q364" s="1592">
        <f t="shared" si="57"/>
        <v>381</v>
      </c>
    </row>
    <row r="365" spans="1:18">
      <c r="A365" s="1592"/>
      <c r="B365" s="1591" t="s">
        <v>958</v>
      </c>
      <c r="C365" s="1592">
        <f>SUM(C353:C364)</f>
        <v>47</v>
      </c>
      <c r="D365" s="1592">
        <f t="shared" ref="D365:O365" si="58">SUM(D353:D364)</f>
        <v>295</v>
      </c>
      <c r="E365" s="1592">
        <f t="shared" si="58"/>
        <v>14</v>
      </c>
      <c r="F365" s="1592">
        <f t="shared" si="58"/>
        <v>17</v>
      </c>
      <c r="G365" s="1592">
        <f t="shared" si="58"/>
        <v>22</v>
      </c>
      <c r="H365" s="1592">
        <f t="shared" si="58"/>
        <v>29</v>
      </c>
      <c r="I365" s="1592">
        <f t="shared" si="58"/>
        <v>31</v>
      </c>
      <c r="J365" s="1592">
        <f t="shared" si="58"/>
        <v>77</v>
      </c>
      <c r="K365" s="1592">
        <f t="shared" si="58"/>
        <v>0</v>
      </c>
      <c r="L365" s="1592">
        <f t="shared" si="58"/>
        <v>50</v>
      </c>
      <c r="M365" s="1592">
        <f t="shared" si="58"/>
        <v>937</v>
      </c>
      <c r="N365" s="1592">
        <f>SUM(N353:N364)</f>
        <v>848</v>
      </c>
      <c r="O365" s="1592">
        <f t="shared" si="58"/>
        <v>923</v>
      </c>
      <c r="P365" s="1592">
        <f>SUM(P353:P364)</f>
        <v>22762</v>
      </c>
      <c r="Q365" s="1592">
        <f>SUM(Q353:Q364)</f>
        <v>26052</v>
      </c>
      <c r="R365" s="1592"/>
    </row>
    <row r="366" spans="1:18" ht="15.75" thickBot="1">
      <c r="A366" s="1788"/>
      <c r="B366" s="1787" t="s">
        <v>913</v>
      </c>
      <c r="C366" s="1787">
        <f>C320+C335+C350+C365</f>
        <v>418</v>
      </c>
      <c r="D366" s="1787">
        <f t="shared" ref="D366:Q366" si="59">D320+D335+D350+D365</f>
        <v>1632</v>
      </c>
      <c r="E366" s="1787">
        <f t="shared" si="59"/>
        <v>1204</v>
      </c>
      <c r="F366" s="1787">
        <f t="shared" si="59"/>
        <v>1213</v>
      </c>
      <c r="G366" s="1787">
        <f t="shared" si="59"/>
        <v>927</v>
      </c>
      <c r="H366" s="1787">
        <f t="shared" si="59"/>
        <v>1027</v>
      </c>
      <c r="I366" s="1787">
        <f t="shared" si="59"/>
        <v>620</v>
      </c>
      <c r="J366" s="1787">
        <f t="shared" si="59"/>
        <v>723</v>
      </c>
      <c r="K366" s="1787">
        <f t="shared" si="59"/>
        <v>608</v>
      </c>
      <c r="L366" s="1787">
        <f t="shared" si="59"/>
        <v>1122</v>
      </c>
      <c r="M366" s="1787">
        <f t="shared" si="59"/>
        <v>9743</v>
      </c>
      <c r="N366" s="1787">
        <f t="shared" si="59"/>
        <v>15623</v>
      </c>
      <c r="O366" s="1787">
        <f t="shared" si="59"/>
        <v>13443</v>
      </c>
      <c r="P366" s="1787">
        <f t="shared" si="59"/>
        <v>116782</v>
      </c>
      <c r="Q366" s="1787">
        <f t="shared" si="59"/>
        <v>165085</v>
      </c>
    </row>
    <row r="367" spans="1:18" s="1595" customFormat="1" ht="15.75" thickTop="1">
      <c r="A367" s="1594" t="s">
        <v>999</v>
      </c>
      <c r="Q367" s="1594"/>
    </row>
    <row r="368" spans="1:18">
      <c r="A368" s="1592" t="s">
        <v>976</v>
      </c>
    </row>
    <row r="369" spans="1:17">
      <c r="A369" s="1591" t="s">
        <v>977</v>
      </c>
      <c r="B369" s="1591" t="s">
        <v>958</v>
      </c>
      <c r="C369" s="1591">
        <v>0</v>
      </c>
      <c r="D369" s="1591">
        <v>58</v>
      </c>
      <c r="E369" s="1591">
        <v>53</v>
      </c>
      <c r="F369" s="1591">
        <v>56</v>
      </c>
      <c r="G369" s="1591">
        <v>23</v>
      </c>
      <c r="H369" s="1591">
        <v>58</v>
      </c>
      <c r="I369" s="1591">
        <v>101</v>
      </c>
      <c r="J369" s="1591">
        <v>75</v>
      </c>
      <c r="K369" s="1591">
        <v>45</v>
      </c>
      <c r="L369" s="1591">
        <v>0</v>
      </c>
      <c r="M369" s="1591">
        <v>986</v>
      </c>
      <c r="N369" s="1591">
        <v>0</v>
      </c>
      <c r="O369" s="1591">
        <v>0</v>
      </c>
      <c r="P369" s="1591">
        <v>0</v>
      </c>
      <c r="Q369" s="1592">
        <f>SUM(D369:P369)</f>
        <v>1455</v>
      </c>
    </row>
    <row r="370" spans="1:17">
      <c r="A370" s="1591" t="s">
        <v>978</v>
      </c>
      <c r="B370" s="1591" t="s">
        <v>958</v>
      </c>
      <c r="C370" s="1591">
        <v>3</v>
      </c>
      <c r="D370" s="1591">
        <v>72</v>
      </c>
      <c r="E370" s="1591">
        <v>37</v>
      </c>
      <c r="F370" s="1591">
        <v>127</v>
      </c>
      <c r="G370" s="1591">
        <v>46</v>
      </c>
      <c r="H370" s="1591">
        <v>0</v>
      </c>
      <c r="I370" s="1591">
        <v>32</v>
      </c>
      <c r="J370" s="1591">
        <v>76</v>
      </c>
      <c r="K370" s="1591">
        <v>85</v>
      </c>
      <c r="L370" s="1591">
        <v>241</v>
      </c>
      <c r="M370" s="1591">
        <v>368</v>
      </c>
      <c r="N370" s="1591">
        <v>0</v>
      </c>
      <c r="O370" s="1591">
        <v>0</v>
      </c>
      <c r="P370" s="1591">
        <v>0</v>
      </c>
      <c r="Q370" s="1592">
        <f>SUM(C370:P370)</f>
        <v>1087</v>
      </c>
    </row>
    <row r="371" spans="1:17">
      <c r="A371" s="1591" t="s">
        <v>979</v>
      </c>
      <c r="B371" s="1591" t="s">
        <v>958</v>
      </c>
      <c r="C371" s="1591">
        <v>2</v>
      </c>
      <c r="D371" s="1591">
        <v>49</v>
      </c>
      <c r="E371" s="1591">
        <v>51</v>
      </c>
      <c r="F371" s="1591">
        <v>54</v>
      </c>
      <c r="G371" s="1591">
        <v>88</v>
      </c>
      <c r="H371" s="1591">
        <v>55</v>
      </c>
      <c r="I371" s="1591">
        <v>34</v>
      </c>
      <c r="J371" s="1591">
        <v>39</v>
      </c>
      <c r="K371" s="1591">
        <v>41</v>
      </c>
      <c r="L371" s="1591">
        <v>146</v>
      </c>
      <c r="M371" s="1591">
        <v>905</v>
      </c>
      <c r="N371" s="1591">
        <v>0</v>
      </c>
      <c r="O371" s="1591">
        <v>0</v>
      </c>
      <c r="P371" s="1591">
        <v>0</v>
      </c>
      <c r="Q371" s="1592">
        <f>SUM(C371:P371)</f>
        <v>1464</v>
      </c>
    </row>
    <row r="372" spans="1:17">
      <c r="A372" s="1591" t="s">
        <v>980</v>
      </c>
      <c r="B372" s="1591" t="s">
        <v>958</v>
      </c>
      <c r="C372" s="1591">
        <v>4</v>
      </c>
      <c r="D372" s="1591">
        <v>48</v>
      </c>
      <c r="E372" s="1591">
        <v>25</v>
      </c>
      <c r="F372" s="1591">
        <v>52</v>
      </c>
      <c r="G372" s="1591">
        <v>113</v>
      </c>
      <c r="H372" s="1591">
        <v>56</v>
      </c>
      <c r="I372" s="1591">
        <v>167</v>
      </c>
      <c r="J372" s="1591">
        <v>40</v>
      </c>
      <c r="K372" s="1591">
        <v>0</v>
      </c>
      <c r="L372" s="1591">
        <v>980</v>
      </c>
      <c r="M372" s="1591">
        <v>129</v>
      </c>
      <c r="N372" s="1591">
        <v>0</v>
      </c>
      <c r="O372" s="1591">
        <v>0</v>
      </c>
      <c r="P372" s="1591">
        <v>0</v>
      </c>
      <c r="Q372" s="1592">
        <f>SUM(C372:P372)</f>
        <v>1614</v>
      </c>
    </row>
    <row r="373" spans="1:17">
      <c r="A373" s="1591" t="s">
        <v>981</v>
      </c>
      <c r="B373" s="1591" t="s">
        <v>958</v>
      </c>
      <c r="C373" s="1591">
        <v>3</v>
      </c>
      <c r="D373" s="1591">
        <v>48</v>
      </c>
      <c r="E373" s="1591">
        <v>58</v>
      </c>
      <c r="F373" s="1591">
        <v>21</v>
      </c>
      <c r="G373" s="1591">
        <v>57</v>
      </c>
      <c r="H373" s="1591">
        <v>65</v>
      </c>
      <c r="I373" s="1591">
        <v>116</v>
      </c>
      <c r="J373" s="1591">
        <v>45</v>
      </c>
      <c r="K373" s="1591">
        <v>48</v>
      </c>
      <c r="L373" s="1591">
        <v>938</v>
      </c>
      <c r="M373" s="1591">
        <v>661</v>
      </c>
      <c r="N373" s="1591">
        <v>0</v>
      </c>
      <c r="O373" s="1591">
        <v>0</v>
      </c>
      <c r="P373" s="1591">
        <v>0</v>
      </c>
      <c r="Q373" s="1592">
        <f t="shared" ref="Q373:Q379" si="60">SUM(C373:P373)</f>
        <v>2060</v>
      </c>
    </row>
    <row r="374" spans="1:17">
      <c r="A374" s="1591" t="s">
        <v>982</v>
      </c>
      <c r="B374" s="1591" t="s">
        <v>958</v>
      </c>
      <c r="C374" s="1591">
        <v>0</v>
      </c>
      <c r="D374" s="1591">
        <v>36</v>
      </c>
      <c r="E374" s="1591">
        <v>39</v>
      </c>
      <c r="F374" s="1591">
        <v>35</v>
      </c>
      <c r="G374" s="1591">
        <v>23</v>
      </c>
      <c r="H374" s="1591">
        <v>59</v>
      </c>
      <c r="I374" s="1591">
        <v>31</v>
      </c>
      <c r="J374" s="1591">
        <v>77</v>
      </c>
      <c r="K374" s="1591">
        <v>129</v>
      </c>
      <c r="L374" s="1591">
        <v>96</v>
      </c>
      <c r="M374" s="1591">
        <v>869</v>
      </c>
      <c r="N374" s="1591">
        <v>815</v>
      </c>
      <c r="O374" s="1591">
        <v>229</v>
      </c>
      <c r="P374" s="1591">
        <v>0</v>
      </c>
      <c r="Q374" s="1592">
        <f t="shared" si="60"/>
        <v>2438</v>
      </c>
    </row>
    <row r="375" spans="1:17">
      <c r="A375" s="1591" t="s">
        <v>983</v>
      </c>
      <c r="B375" s="1591" t="s">
        <v>958</v>
      </c>
      <c r="C375" s="1591">
        <v>3</v>
      </c>
      <c r="D375" s="1591">
        <v>52</v>
      </c>
      <c r="E375" s="1591">
        <v>39</v>
      </c>
      <c r="F375" s="1591">
        <v>54</v>
      </c>
      <c r="G375" s="1591">
        <v>47</v>
      </c>
      <c r="H375" s="1591">
        <v>58</v>
      </c>
      <c r="I375" s="1591">
        <v>33</v>
      </c>
      <c r="J375" s="1591">
        <v>0</v>
      </c>
      <c r="K375" s="1591">
        <v>44</v>
      </c>
      <c r="L375" s="1591">
        <v>198</v>
      </c>
      <c r="M375" s="1591">
        <v>0</v>
      </c>
      <c r="N375" s="1591">
        <v>675</v>
      </c>
      <c r="O375" s="1591">
        <v>342</v>
      </c>
      <c r="P375" s="1591">
        <v>0</v>
      </c>
      <c r="Q375" s="1592">
        <f t="shared" si="60"/>
        <v>1545</v>
      </c>
    </row>
    <row r="376" spans="1:17">
      <c r="A376" s="1591" t="s">
        <v>984</v>
      </c>
      <c r="B376" s="1591" t="s">
        <v>958</v>
      </c>
      <c r="C376" s="1591">
        <v>0</v>
      </c>
      <c r="D376" s="1591">
        <v>72</v>
      </c>
      <c r="E376" s="1591">
        <v>11</v>
      </c>
      <c r="F376" s="1591">
        <v>75</v>
      </c>
      <c r="G376" s="1591">
        <v>0</v>
      </c>
      <c r="H376" s="1591">
        <v>54</v>
      </c>
      <c r="I376" s="1591">
        <v>0</v>
      </c>
      <c r="J376" s="1591">
        <v>40</v>
      </c>
      <c r="K376" s="1591">
        <v>0</v>
      </c>
      <c r="L376" s="1591">
        <v>198</v>
      </c>
      <c r="M376" s="1591">
        <v>1092</v>
      </c>
      <c r="N376" s="1591">
        <v>280</v>
      </c>
      <c r="O376" s="1591">
        <v>0</v>
      </c>
      <c r="P376" s="1591">
        <v>0</v>
      </c>
      <c r="Q376" s="1592">
        <f t="shared" si="60"/>
        <v>1822</v>
      </c>
    </row>
    <row r="377" spans="1:17">
      <c r="A377" s="1591" t="s">
        <v>985</v>
      </c>
      <c r="B377" s="1591" t="s">
        <v>958</v>
      </c>
      <c r="C377" s="1591">
        <v>5</v>
      </c>
      <c r="D377" s="1591">
        <v>56</v>
      </c>
      <c r="E377" s="1591">
        <v>51</v>
      </c>
      <c r="F377" s="1591">
        <v>0</v>
      </c>
      <c r="G377" s="1591">
        <v>94</v>
      </c>
      <c r="H377" s="1591">
        <v>30</v>
      </c>
      <c r="I377" s="1591">
        <v>66</v>
      </c>
      <c r="J377" s="1591">
        <v>40</v>
      </c>
      <c r="K377" s="1591">
        <v>169</v>
      </c>
      <c r="L377" s="1591">
        <v>96</v>
      </c>
      <c r="M377" s="1591">
        <v>674</v>
      </c>
      <c r="N377" s="1591">
        <v>212</v>
      </c>
      <c r="O377" s="1591">
        <v>0</v>
      </c>
      <c r="P377" s="1591">
        <v>0</v>
      </c>
      <c r="Q377" s="1592">
        <f t="shared" si="60"/>
        <v>1493</v>
      </c>
    </row>
    <row r="378" spans="1:17">
      <c r="A378" s="1591" t="s">
        <v>986</v>
      </c>
      <c r="B378" s="1591" t="s">
        <v>958</v>
      </c>
      <c r="C378" s="1591">
        <v>0</v>
      </c>
      <c r="D378" s="1591">
        <v>53</v>
      </c>
      <c r="E378" s="1591">
        <v>36</v>
      </c>
      <c r="F378" s="1591">
        <v>56</v>
      </c>
      <c r="G378" s="1591">
        <v>46</v>
      </c>
      <c r="H378" s="1591">
        <v>57</v>
      </c>
      <c r="I378" s="1591">
        <v>0</v>
      </c>
      <c r="J378" s="1591">
        <v>79</v>
      </c>
      <c r="K378" s="1591">
        <v>128</v>
      </c>
      <c r="L378" s="1591">
        <v>196</v>
      </c>
      <c r="M378" s="1591">
        <v>709</v>
      </c>
      <c r="N378" s="1591">
        <v>237</v>
      </c>
      <c r="O378" s="1591">
        <v>0</v>
      </c>
      <c r="P378" s="1591">
        <v>0</v>
      </c>
      <c r="Q378" s="1592">
        <f t="shared" si="60"/>
        <v>1597</v>
      </c>
    </row>
    <row r="379" spans="1:17">
      <c r="A379" s="1591" t="s">
        <v>987</v>
      </c>
      <c r="B379" s="1591" t="s">
        <v>958</v>
      </c>
      <c r="C379" s="1591">
        <v>0</v>
      </c>
      <c r="D379" s="1591">
        <v>42</v>
      </c>
      <c r="E379" s="1591">
        <v>28</v>
      </c>
      <c r="F379" s="1591">
        <v>17</v>
      </c>
      <c r="G379" s="1591">
        <v>49</v>
      </c>
      <c r="H379" s="1591">
        <v>57</v>
      </c>
      <c r="I379" s="1591">
        <v>63</v>
      </c>
      <c r="J379" s="1591">
        <v>74</v>
      </c>
      <c r="K379" s="1591">
        <v>87</v>
      </c>
      <c r="L379" s="1591">
        <v>198</v>
      </c>
      <c r="M379" s="1591">
        <v>634</v>
      </c>
      <c r="N379" s="1591">
        <v>488</v>
      </c>
      <c r="O379" s="1591">
        <v>0</v>
      </c>
      <c r="P379" s="1591">
        <v>0</v>
      </c>
      <c r="Q379" s="1592">
        <f t="shared" si="60"/>
        <v>1737</v>
      </c>
    </row>
    <row r="380" spans="1:17">
      <c r="A380" s="1591" t="s">
        <v>988</v>
      </c>
      <c r="B380" s="1591" t="s">
        <v>958</v>
      </c>
      <c r="C380" s="1591">
        <v>4</v>
      </c>
      <c r="D380" s="1591">
        <v>35</v>
      </c>
      <c r="E380" s="1591">
        <v>24</v>
      </c>
      <c r="F380" s="1591">
        <v>36</v>
      </c>
      <c r="G380" s="1591">
        <v>24</v>
      </c>
      <c r="H380" s="1591">
        <v>119</v>
      </c>
      <c r="I380" s="1591">
        <v>62</v>
      </c>
      <c r="J380" s="1591">
        <v>112</v>
      </c>
      <c r="K380" s="1591">
        <v>174</v>
      </c>
      <c r="L380" s="1591">
        <v>100</v>
      </c>
      <c r="M380" s="1591">
        <v>571</v>
      </c>
      <c r="N380" s="1591">
        <v>207</v>
      </c>
      <c r="O380" s="1591">
        <v>0</v>
      </c>
      <c r="P380" s="1591">
        <v>0</v>
      </c>
      <c r="Q380" s="1592">
        <f>SUM(C380:P380)</f>
        <v>1468</v>
      </c>
    </row>
    <row r="381" spans="1:17" s="1592" customFormat="1">
      <c r="B381" s="1591" t="s">
        <v>958</v>
      </c>
      <c r="C381" s="1592">
        <f>SUM(C369:C380)</f>
        <v>24</v>
      </c>
      <c r="D381" s="1592">
        <f t="shared" ref="D381:P381" si="61">SUM(D369:D380)</f>
        <v>621</v>
      </c>
      <c r="E381" s="1592">
        <f t="shared" si="61"/>
        <v>452</v>
      </c>
      <c r="F381" s="1592">
        <f t="shared" si="61"/>
        <v>583</v>
      </c>
      <c r="G381" s="1592">
        <f t="shared" si="61"/>
        <v>610</v>
      </c>
      <c r="H381" s="1592">
        <f t="shared" si="61"/>
        <v>668</v>
      </c>
      <c r="I381" s="1592">
        <f>SUM(I369:I380)</f>
        <v>705</v>
      </c>
      <c r="J381" s="1592">
        <f>SUM(J369:J380)</f>
        <v>697</v>
      </c>
      <c r="K381" s="1592">
        <f t="shared" si="61"/>
        <v>950</v>
      </c>
      <c r="L381" s="1592">
        <f t="shared" si="61"/>
        <v>3387</v>
      </c>
      <c r="M381" s="1592">
        <f t="shared" si="61"/>
        <v>7598</v>
      </c>
      <c r="N381" s="1592">
        <f t="shared" si="61"/>
        <v>2914</v>
      </c>
      <c r="O381" s="1592">
        <f t="shared" si="61"/>
        <v>571</v>
      </c>
      <c r="P381" s="1592">
        <f t="shared" si="61"/>
        <v>0</v>
      </c>
      <c r="Q381" s="1592">
        <f>SUM(Q369:Q380)</f>
        <v>19780</v>
      </c>
    </row>
    <row r="383" spans="1:17">
      <c r="A383" s="1592" t="s">
        <v>989</v>
      </c>
      <c r="C383" s="1591" t="s">
        <v>960</v>
      </c>
      <c r="D383" s="1591" t="s">
        <v>961</v>
      </c>
      <c r="E383" s="1591" t="s">
        <v>962</v>
      </c>
      <c r="F383" s="1591" t="s">
        <v>963</v>
      </c>
      <c r="G383" s="1591" t="s">
        <v>964</v>
      </c>
      <c r="H383" s="1591" t="s">
        <v>965</v>
      </c>
      <c r="I383" s="1591" t="s">
        <v>966</v>
      </c>
      <c r="J383" s="1591" t="s">
        <v>967</v>
      </c>
      <c r="K383" s="1591" t="s">
        <v>968</v>
      </c>
      <c r="L383" s="1591" t="s">
        <v>969</v>
      </c>
      <c r="M383" s="1591" t="s">
        <v>970</v>
      </c>
      <c r="N383" s="1591" t="s">
        <v>971</v>
      </c>
      <c r="O383" s="1591" t="s">
        <v>972</v>
      </c>
      <c r="P383" s="1591" t="s">
        <v>973</v>
      </c>
      <c r="Q383" s="1592" t="s">
        <v>22</v>
      </c>
    </row>
    <row r="384" spans="1:17">
      <c r="A384" s="1591" t="s">
        <v>977</v>
      </c>
      <c r="B384" s="1591" t="s">
        <v>958</v>
      </c>
      <c r="C384" s="1591">
        <v>15</v>
      </c>
      <c r="D384" s="1591">
        <v>62</v>
      </c>
      <c r="E384" s="1591">
        <v>36</v>
      </c>
      <c r="F384" s="1591">
        <v>71</v>
      </c>
      <c r="G384" s="1591">
        <v>115</v>
      </c>
      <c r="H384" s="1591">
        <v>27</v>
      </c>
      <c r="I384" s="1591">
        <v>33</v>
      </c>
      <c r="J384" s="1591">
        <v>39</v>
      </c>
      <c r="K384" s="1591">
        <v>45</v>
      </c>
      <c r="L384" s="1591">
        <v>0</v>
      </c>
      <c r="M384" s="1591">
        <v>231</v>
      </c>
      <c r="N384" s="1591">
        <v>169</v>
      </c>
      <c r="O384" s="1591">
        <v>0</v>
      </c>
      <c r="P384" s="1591">
        <v>650</v>
      </c>
      <c r="Q384" s="1592">
        <f t="shared" ref="Q384:Q385" si="62">SUM(C384:P384)</f>
        <v>1493</v>
      </c>
    </row>
    <row r="385" spans="1:17">
      <c r="A385" s="1591" t="s">
        <v>978</v>
      </c>
      <c r="B385" s="1591" t="s">
        <v>958</v>
      </c>
      <c r="C385" s="1591">
        <v>18</v>
      </c>
      <c r="D385" s="1591">
        <v>58</v>
      </c>
      <c r="E385" s="1591">
        <v>80</v>
      </c>
      <c r="F385" s="1591">
        <v>69</v>
      </c>
      <c r="G385" s="1591">
        <v>22</v>
      </c>
      <c r="H385" s="1591">
        <v>30</v>
      </c>
      <c r="I385" s="1591">
        <v>33</v>
      </c>
      <c r="J385" s="1591">
        <v>40</v>
      </c>
      <c r="K385" s="1591">
        <v>45</v>
      </c>
      <c r="L385" s="1591">
        <v>0</v>
      </c>
      <c r="M385" s="1591">
        <v>293</v>
      </c>
      <c r="N385" s="1591">
        <v>148</v>
      </c>
      <c r="O385" s="1591">
        <v>0</v>
      </c>
      <c r="P385" s="1591">
        <v>650</v>
      </c>
      <c r="Q385" s="1592">
        <f t="shared" si="62"/>
        <v>1486</v>
      </c>
    </row>
    <row r="386" spans="1:17">
      <c r="A386" s="1591" t="s">
        <v>979</v>
      </c>
      <c r="B386" s="1591" t="s">
        <v>958</v>
      </c>
      <c r="C386" s="1591">
        <v>7</v>
      </c>
      <c r="D386" s="1591">
        <v>96</v>
      </c>
      <c r="E386" s="1591">
        <v>13</v>
      </c>
      <c r="F386" s="1591">
        <v>0</v>
      </c>
      <c r="G386" s="1591">
        <v>183</v>
      </c>
      <c r="H386" s="1591">
        <v>30</v>
      </c>
      <c r="I386" s="1591">
        <v>0</v>
      </c>
      <c r="J386" s="1591">
        <v>36</v>
      </c>
      <c r="K386" s="1591">
        <v>44</v>
      </c>
      <c r="L386" s="1591">
        <v>46</v>
      </c>
      <c r="M386" s="1591">
        <v>236</v>
      </c>
      <c r="N386" s="1591">
        <v>288</v>
      </c>
      <c r="O386" s="1591">
        <v>0</v>
      </c>
      <c r="P386" s="1591">
        <v>650</v>
      </c>
      <c r="Q386" s="1592">
        <f>SUM(C386:P386)</f>
        <v>1629</v>
      </c>
    </row>
    <row r="387" spans="1:17">
      <c r="A387" s="1591" t="s">
        <v>980</v>
      </c>
      <c r="B387" s="1591" t="s">
        <v>958</v>
      </c>
      <c r="C387" s="1591">
        <v>5</v>
      </c>
      <c r="D387" s="1591">
        <v>118</v>
      </c>
      <c r="E387" s="1591">
        <v>40</v>
      </c>
      <c r="F387" s="1591">
        <v>38</v>
      </c>
      <c r="G387" s="1591">
        <v>42</v>
      </c>
      <c r="H387" s="1591">
        <v>108</v>
      </c>
      <c r="I387" s="1591">
        <v>35</v>
      </c>
      <c r="J387" s="1591">
        <v>36</v>
      </c>
      <c r="K387" s="1591">
        <v>41</v>
      </c>
      <c r="L387" s="1591">
        <v>0</v>
      </c>
      <c r="M387" s="1591">
        <v>284</v>
      </c>
      <c r="N387" s="1591">
        <v>143</v>
      </c>
      <c r="O387" s="1591">
        <v>0</v>
      </c>
      <c r="P387" s="1591">
        <v>0</v>
      </c>
      <c r="Q387" s="1592">
        <f>SUM(C387:P387)</f>
        <v>890</v>
      </c>
    </row>
    <row r="388" spans="1:17">
      <c r="A388" s="1591" t="s">
        <v>981</v>
      </c>
      <c r="B388" s="1591" t="s">
        <v>958</v>
      </c>
      <c r="C388" s="1591">
        <v>11</v>
      </c>
      <c r="D388" s="1591">
        <v>88</v>
      </c>
      <c r="E388" s="1591">
        <v>14</v>
      </c>
      <c r="F388" s="1591">
        <v>59</v>
      </c>
      <c r="G388" s="1591">
        <v>93</v>
      </c>
      <c r="H388" s="1591">
        <v>88</v>
      </c>
      <c r="I388" s="1591">
        <v>0</v>
      </c>
      <c r="J388" s="1591">
        <v>149</v>
      </c>
      <c r="K388" s="1591">
        <v>45</v>
      </c>
      <c r="L388" s="1591">
        <v>0</v>
      </c>
      <c r="M388" s="1591">
        <v>243</v>
      </c>
      <c r="N388" s="1591">
        <v>0</v>
      </c>
      <c r="O388" s="1591">
        <v>0</v>
      </c>
      <c r="P388" s="1591">
        <v>962</v>
      </c>
      <c r="Q388" s="1592">
        <f t="shared" ref="Q388:Q395" si="63">SUM(C388:P388)</f>
        <v>1752</v>
      </c>
    </row>
    <row r="389" spans="1:17">
      <c r="A389" s="1591" t="s">
        <v>982</v>
      </c>
      <c r="B389" s="1591" t="s">
        <v>958</v>
      </c>
      <c r="C389" s="1591">
        <v>8</v>
      </c>
      <c r="D389" s="1591">
        <v>50</v>
      </c>
      <c r="E389" s="1591">
        <v>66</v>
      </c>
      <c r="F389" s="1591">
        <v>79</v>
      </c>
      <c r="G389" s="1591">
        <v>74</v>
      </c>
      <c r="H389" s="1591">
        <v>88</v>
      </c>
      <c r="I389" s="1591">
        <v>65</v>
      </c>
      <c r="J389" s="1591">
        <v>0</v>
      </c>
      <c r="K389" s="1591">
        <v>0</v>
      </c>
      <c r="L389" s="1591">
        <v>93</v>
      </c>
      <c r="M389" s="1591">
        <v>207</v>
      </c>
      <c r="N389" s="1591">
        <v>107</v>
      </c>
      <c r="O389" s="1591">
        <v>0</v>
      </c>
      <c r="P389" s="1591">
        <v>1875</v>
      </c>
      <c r="Q389" s="1592">
        <f t="shared" si="63"/>
        <v>2712</v>
      </c>
    </row>
    <row r="390" spans="1:17">
      <c r="A390" s="1591" t="s">
        <v>983</v>
      </c>
      <c r="B390" s="1591" t="s">
        <v>958</v>
      </c>
      <c r="C390" s="1591">
        <v>19</v>
      </c>
      <c r="D390" s="1591">
        <v>76</v>
      </c>
      <c r="E390" s="1591">
        <v>26</v>
      </c>
      <c r="F390" s="1591">
        <v>59</v>
      </c>
      <c r="G390" s="1591">
        <v>0</v>
      </c>
      <c r="H390" s="1591">
        <v>138</v>
      </c>
      <c r="I390" s="1591">
        <v>33</v>
      </c>
      <c r="J390" s="1591">
        <v>0</v>
      </c>
      <c r="K390" s="1591">
        <v>0</v>
      </c>
      <c r="L390" s="1591">
        <v>0</v>
      </c>
      <c r="M390" s="1591">
        <v>221</v>
      </c>
      <c r="N390" s="1591">
        <v>0</v>
      </c>
      <c r="O390" s="1591">
        <v>0</v>
      </c>
      <c r="P390" s="1591">
        <v>648</v>
      </c>
      <c r="Q390" s="1592">
        <f t="shared" si="63"/>
        <v>1220</v>
      </c>
    </row>
    <row r="391" spans="1:17">
      <c r="A391" s="1591" t="s">
        <v>984</v>
      </c>
      <c r="B391" s="1591" t="s">
        <v>958</v>
      </c>
      <c r="C391" s="1591">
        <v>17</v>
      </c>
      <c r="D391" s="1591">
        <v>87</v>
      </c>
      <c r="E391" s="1591">
        <v>34</v>
      </c>
      <c r="F391" s="1591">
        <v>58</v>
      </c>
      <c r="G391" s="1591">
        <v>46</v>
      </c>
      <c r="H391" s="1591">
        <v>28</v>
      </c>
      <c r="I391" s="1591">
        <v>35</v>
      </c>
      <c r="J391" s="1591">
        <v>0</v>
      </c>
      <c r="K391" s="1591">
        <v>0</v>
      </c>
      <c r="L391" s="1591">
        <v>0</v>
      </c>
      <c r="M391" s="1591">
        <v>251</v>
      </c>
      <c r="N391" s="1591">
        <v>0</v>
      </c>
      <c r="O391" s="1591">
        <v>0</v>
      </c>
      <c r="P391" s="1591">
        <v>646</v>
      </c>
      <c r="Q391" s="1592">
        <f t="shared" si="63"/>
        <v>1202</v>
      </c>
    </row>
    <row r="392" spans="1:17">
      <c r="A392" s="1591" t="s">
        <v>985</v>
      </c>
      <c r="B392" s="1591" t="s">
        <v>958</v>
      </c>
      <c r="C392" s="1591">
        <v>16</v>
      </c>
      <c r="D392" s="1591">
        <v>55</v>
      </c>
      <c r="E392" s="1591">
        <v>38</v>
      </c>
      <c r="F392" s="1591">
        <v>73</v>
      </c>
      <c r="G392" s="1591">
        <v>24</v>
      </c>
      <c r="H392" s="1591">
        <v>79</v>
      </c>
      <c r="I392" s="1591">
        <v>0</v>
      </c>
      <c r="J392" s="1591">
        <v>39</v>
      </c>
      <c r="K392" s="1591">
        <v>41</v>
      </c>
      <c r="L392" s="1591">
        <v>96</v>
      </c>
      <c r="M392" s="1591">
        <v>180</v>
      </c>
      <c r="N392" s="1591">
        <v>0</v>
      </c>
      <c r="O392" s="1591">
        <v>0</v>
      </c>
      <c r="P392" s="1591">
        <v>396</v>
      </c>
      <c r="Q392" s="1592">
        <f t="shared" si="63"/>
        <v>1037</v>
      </c>
    </row>
    <row r="393" spans="1:17">
      <c r="A393" s="1591" t="s">
        <v>986</v>
      </c>
      <c r="B393" s="1591" t="s">
        <v>958</v>
      </c>
      <c r="C393" s="1591">
        <v>18</v>
      </c>
      <c r="D393" s="1591">
        <v>51</v>
      </c>
      <c r="E393" s="1591">
        <v>53</v>
      </c>
      <c r="F393" s="1591">
        <v>36</v>
      </c>
      <c r="G393" s="1591">
        <v>75</v>
      </c>
      <c r="H393" s="1591">
        <v>0</v>
      </c>
      <c r="I393" s="1591">
        <v>100</v>
      </c>
      <c r="J393" s="1591">
        <v>0</v>
      </c>
      <c r="K393" s="1591">
        <v>43</v>
      </c>
      <c r="L393" s="1591">
        <v>0</v>
      </c>
      <c r="M393" s="1591">
        <v>399</v>
      </c>
      <c r="N393" s="1591">
        <v>0</v>
      </c>
      <c r="O393" s="1591">
        <v>0</v>
      </c>
      <c r="P393" s="1591">
        <v>965</v>
      </c>
      <c r="Q393" s="1592">
        <f t="shared" si="63"/>
        <v>1740</v>
      </c>
    </row>
    <row r="394" spans="1:17">
      <c r="A394" s="1591" t="s">
        <v>987</v>
      </c>
      <c r="B394" s="1591" t="s">
        <v>958</v>
      </c>
      <c r="C394" s="1591">
        <v>16</v>
      </c>
      <c r="D394" s="1591">
        <v>64</v>
      </c>
      <c r="E394" s="1591">
        <v>38</v>
      </c>
      <c r="F394" s="1591">
        <v>53</v>
      </c>
      <c r="G394" s="1591">
        <v>25</v>
      </c>
      <c r="H394" s="1591">
        <v>55</v>
      </c>
      <c r="I394" s="1591">
        <v>35</v>
      </c>
      <c r="J394" s="1591">
        <v>38</v>
      </c>
      <c r="K394" s="1591">
        <v>41</v>
      </c>
      <c r="L394" s="1591">
        <v>0</v>
      </c>
      <c r="M394" s="1591">
        <v>233</v>
      </c>
      <c r="N394" s="1591">
        <v>160</v>
      </c>
      <c r="O394" s="1591">
        <v>0</v>
      </c>
      <c r="P394" s="1591">
        <v>714</v>
      </c>
      <c r="Q394" s="1592">
        <f t="shared" si="63"/>
        <v>1472</v>
      </c>
    </row>
    <row r="395" spans="1:17">
      <c r="A395" s="1591" t="s">
        <v>988</v>
      </c>
      <c r="B395" s="1591" t="s">
        <v>958</v>
      </c>
      <c r="C395" s="1591">
        <v>9</v>
      </c>
      <c r="D395" s="1591">
        <v>59</v>
      </c>
      <c r="E395" s="1591">
        <v>80</v>
      </c>
      <c r="F395" s="1591">
        <v>57</v>
      </c>
      <c r="G395" s="1591">
        <v>50</v>
      </c>
      <c r="H395" s="1591">
        <v>55</v>
      </c>
      <c r="I395" s="1591">
        <v>68</v>
      </c>
      <c r="J395" s="1591">
        <v>76</v>
      </c>
      <c r="K395" s="1591">
        <v>0</v>
      </c>
      <c r="L395" s="1591">
        <v>0</v>
      </c>
      <c r="M395" s="1591">
        <v>282</v>
      </c>
      <c r="N395" s="1591">
        <v>0</v>
      </c>
      <c r="O395" s="1591">
        <v>0</v>
      </c>
      <c r="P395" s="1591">
        <v>445</v>
      </c>
      <c r="Q395" s="1592">
        <f t="shared" si="63"/>
        <v>1181</v>
      </c>
    </row>
    <row r="396" spans="1:17" s="1592" customFormat="1">
      <c r="B396" s="1591" t="s">
        <v>958</v>
      </c>
      <c r="C396" s="1592">
        <f>SUM(C384:C395)</f>
        <v>159</v>
      </c>
      <c r="D396" s="1592">
        <f t="shared" ref="D396:O396" si="64">SUM(D384:D395)</f>
        <v>864</v>
      </c>
      <c r="E396" s="1592">
        <f t="shared" si="64"/>
        <v>518</v>
      </c>
      <c r="F396" s="1592">
        <f t="shared" si="64"/>
        <v>652</v>
      </c>
      <c r="G396" s="1592">
        <f t="shared" si="64"/>
        <v>749</v>
      </c>
      <c r="H396" s="1592">
        <f t="shared" si="64"/>
        <v>726</v>
      </c>
      <c r="I396" s="1592">
        <f t="shared" si="64"/>
        <v>437</v>
      </c>
      <c r="J396" s="1592">
        <f t="shared" si="64"/>
        <v>453</v>
      </c>
      <c r="K396" s="1592">
        <f t="shared" si="64"/>
        <v>345</v>
      </c>
      <c r="L396" s="1592">
        <f t="shared" si="64"/>
        <v>235</v>
      </c>
      <c r="M396" s="1592">
        <f t="shared" si="64"/>
        <v>3060</v>
      </c>
      <c r="N396" s="1592">
        <f t="shared" si="64"/>
        <v>1015</v>
      </c>
      <c r="O396" s="1592">
        <f t="shared" si="64"/>
        <v>0</v>
      </c>
      <c r="P396" s="1592">
        <f>SUM(P384:P395)</f>
        <v>8601</v>
      </c>
      <c r="Q396" s="1592">
        <f>SUM(Q384:Q395)</f>
        <v>17814</v>
      </c>
    </row>
    <row r="398" spans="1:17">
      <c r="A398" s="1592" t="s">
        <v>995</v>
      </c>
      <c r="C398" s="1591" t="s">
        <v>960</v>
      </c>
      <c r="D398" s="1591" t="s">
        <v>961</v>
      </c>
      <c r="E398" s="1591" t="s">
        <v>962</v>
      </c>
      <c r="F398" s="1591" t="s">
        <v>963</v>
      </c>
      <c r="G398" s="1591" t="s">
        <v>964</v>
      </c>
      <c r="H398" s="1591" t="s">
        <v>965</v>
      </c>
      <c r="I398" s="1591" t="s">
        <v>966</v>
      </c>
      <c r="J398" s="1591" t="s">
        <v>967</v>
      </c>
      <c r="K398" s="1591" t="s">
        <v>968</v>
      </c>
      <c r="L398" s="1591" t="s">
        <v>969</v>
      </c>
      <c r="M398" s="1591" t="s">
        <v>970</v>
      </c>
      <c r="N398" s="1591" t="s">
        <v>971</v>
      </c>
      <c r="O398" s="1591" t="s">
        <v>972</v>
      </c>
      <c r="P398" s="1591" t="s">
        <v>973</v>
      </c>
      <c r="Q398" s="1592" t="s">
        <v>22</v>
      </c>
    </row>
    <row r="399" spans="1:17">
      <c r="A399" s="1591" t="s">
        <v>977</v>
      </c>
      <c r="B399" s="1591" t="s">
        <v>958</v>
      </c>
      <c r="C399" s="1591">
        <v>7</v>
      </c>
      <c r="D399" s="1591">
        <v>6</v>
      </c>
      <c r="E399" s="1591">
        <v>0</v>
      </c>
      <c r="F399" s="1591">
        <v>35</v>
      </c>
      <c r="G399" s="1591">
        <v>0</v>
      </c>
      <c r="H399" s="1591">
        <v>0</v>
      </c>
      <c r="I399" s="1591">
        <v>0</v>
      </c>
      <c r="J399" s="1591">
        <v>0</v>
      </c>
      <c r="K399" s="1591">
        <v>0</v>
      </c>
      <c r="L399" s="1591">
        <v>0</v>
      </c>
      <c r="M399" s="1591">
        <v>0</v>
      </c>
      <c r="N399" s="1591">
        <v>0</v>
      </c>
      <c r="O399" s="1591">
        <v>0</v>
      </c>
      <c r="P399" s="1591">
        <v>0</v>
      </c>
      <c r="Q399" s="1592">
        <f t="shared" ref="Q399:Q400" si="65">SUM(C399:P399)</f>
        <v>48</v>
      </c>
    </row>
    <row r="400" spans="1:17">
      <c r="A400" s="1591" t="s">
        <v>978</v>
      </c>
      <c r="B400" s="1591" t="s">
        <v>958</v>
      </c>
      <c r="C400" s="1591">
        <v>3</v>
      </c>
      <c r="D400" s="1591">
        <v>6</v>
      </c>
      <c r="E400" s="1591">
        <v>20</v>
      </c>
      <c r="F400" s="1591">
        <v>0</v>
      </c>
      <c r="G400" s="1591">
        <v>0</v>
      </c>
      <c r="H400" s="1591">
        <v>0</v>
      </c>
      <c r="I400" s="1591">
        <v>0</v>
      </c>
      <c r="J400" s="1591">
        <v>0</v>
      </c>
      <c r="K400" s="1591">
        <v>0</v>
      </c>
      <c r="L400" s="1591">
        <v>0</v>
      </c>
      <c r="M400" s="1591">
        <v>78</v>
      </c>
      <c r="N400" s="1591">
        <v>0</v>
      </c>
      <c r="O400" s="1591">
        <v>0</v>
      </c>
      <c r="P400" s="1591">
        <v>0</v>
      </c>
      <c r="Q400" s="1592">
        <f t="shared" si="65"/>
        <v>107</v>
      </c>
    </row>
    <row r="401" spans="1:18">
      <c r="A401" s="1591" t="s">
        <v>979</v>
      </c>
      <c r="B401" s="1591" t="s">
        <v>958</v>
      </c>
      <c r="C401" s="1591">
        <v>2</v>
      </c>
      <c r="D401" s="1591">
        <v>0</v>
      </c>
      <c r="E401" s="1591">
        <v>17</v>
      </c>
      <c r="F401" s="1591">
        <v>24</v>
      </c>
      <c r="G401" s="1591">
        <v>0</v>
      </c>
      <c r="H401" s="1591">
        <v>0</v>
      </c>
      <c r="I401" s="1591">
        <v>0</v>
      </c>
      <c r="J401" s="1591">
        <v>40</v>
      </c>
      <c r="K401" s="1591">
        <v>0</v>
      </c>
      <c r="L401" s="1591">
        <v>0</v>
      </c>
      <c r="M401" s="1591">
        <v>0</v>
      </c>
      <c r="N401" s="1591">
        <v>0</v>
      </c>
      <c r="O401" s="1591">
        <v>0</v>
      </c>
      <c r="P401" s="1591">
        <v>0</v>
      </c>
      <c r="Q401" s="1592">
        <f>SUM(C401:P401)</f>
        <v>83</v>
      </c>
    </row>
    <row r="402" spans="1:18">
      <c r="A402" s="1591" t="s">
        <v>980</v>
      </c>
      <c r="B402" s="1591" t="s">
        <v>958</v>
      </c>
      <c r="C402" s="1591">
        <v>6</v>
      </c>
      <c r="D402" s="1591">
        <v>12</v>
      </c>
      <c r="E402" s="1591">
        <v>0</v>
      </c>
      <c r="F402" s="1591">
        <v>0</v>
      </c>
      <c r="G402" s="1591">
        <v>0</v>
      </c>
      <c r="H402" s="1591">
        <v>26</v>
      </c>
      <c r="I402" s="1591">
        <v>0</v>
      </c>
      <c r="J402" s="1591">
        <v>40</v>
      </c>
      <c r="K402" s="1591">
        <v>0</v>
      </c>
      <c r="L402" s="1591">
        <v>0</v>
      </c>
      <c r="M402" s="1591">
        <v>0</v>
      </c>
      <c r="N402" s="1591">
        <v>0</v>
      </c>
      <c r="O402" s="1591">
        <v>0</v>
      </c>
      <c r="P402" s="1591">
        <v>0</v>
      </c>
      <c r="Q402" s="1592">
        <f>SUM(C402:P402)</f>
        <v>84</v>
      </c>
    </row>
    <row r="403" spans="1:18">
      <c r="A403" s="1591" t="s">
        <v>981</v>
      </c>
      <c r="B403" s="1591" t="s">
        <v>958</v>
      </c>
      <c r="C403" s="1591">
        <v>7</v>
      </c>
      <c r="D403" s="1591">
        <v>14</v>
      </c>
      <c r="E403" s="1591">
        <v>0</v>
      </c>
      <c r="F403" s="1591">
        <v>0</v>
      </c>
      <c r="G403" s="1591">
        <v>45</v>
      </c>
      <c r="H403" s="1591">
        <v>0</v>
      </c>
      <c r="I403" s="1591">
        <v>0</v>
      </c>
      <c r="J403" s="1591">
        <v>0</v>
      </c>
      <c r="K403" s="1591">
        <v>0</v>
      </c>
      <c r="L403" s="1591">
        <v>0</v>
      </c>
      <c r="M403" s="1591">
        <v>0</v>
      </c>
      <c r="N403" s="1591">
        <v>0</v>
      </c>
      <c r="O403" s="1591">
        <v>0</v>
      </c>
      <c r="P403" s="1591">
        <v>0</v>
      </c>
      <c r="Q403" s="1592">
        <f t="shared" ref="Q403:Q410" si="66">SUM(C403:P403)</f>
        <v>66</v>
      </c>
    </row>
    <row r="404" spans="1:18">
      <c r="A404" s="1591" t="s">
        <v>982</v>
      </c>
      <c r="B404" s="1591" t="s">
        <v>958</v>
      </c>
      <c r="C404" s="1591">
        <v>2</v>
      </c>
      <c r="D404" s="1591">
        <v>6</v>
      </c>
      <c r="E404" s="1591">
        <v>15</v>
      </c>
      <c r="F404" s="1591">
        <v>0</v>
      </c>
      <c r="G404" s="1591">
        <v>48</v>
      </c>
      <c r="H404" s="1591">
        <v>29</v>
      </c>
      <c r="I404" s="1591">
        <v>0</v>
      </c>
      <c r="J404" s="1591">
        <v>0</v>
      </c>
      <c r="K404" s="1591">
        <v>0</v>
      </c>
      <c r="L404" s="1591">
        <v>0</v>
      </c>
      <c r="M404" s="1591">
        <v>0</v>
      </c>
      <c r="N404" s="1591">
        <v>0</v>
      </c>
      <c r="O404" s="1591">
        <v>0</v>
      </c>
      <c r="P404" s="1591">
        <v>0</v>
      </c>
      <c r="Q404" s="1592">
        <f t="shared" si="66"/>
        <v>100</v>
      </c>
    </row>
    <row r="405" spans="1:18">
      <c r="A405" s="1591" t="s">
        <v>983</v>
      </c>
      <c r="B405" s="1591" t="s">
        <v>958</v>
      </c>
      <c r="C405" s="1591">
        <v>12</v>
      </c>
      <c r="D405" s="1591">
        <v>12</v>
      </c>
      <c r="E405" s="1591">
        <v>17</v>
      </c>
      <c r="F405" s="1591">
        <v>23</v>
      </c>
      <c r="G405" s="1591">
        <v>0</v>
      </c>
      <c r="H405" s="1591">
        <v>0</v>
      </c>
      <c r="I405" s="1591">
        <v>0</v>
      </c>
      <c r="J405" s="1591">
        <v>0</v>
      </c>
      <c r="K405" s="1591">
        <v>0</v>
      </c>
      <c r="L405" s="1591">
        <v>0</v>
      </c>
      <c r="M405" s="1591">
        <v>0</v>
      </c>
      <c r="N405" s="1591">
        <v>0</v>
      </c>
      <c r="O405" s="1591">
        <v>0</v>
      </c>
      <c r="P405" s="1591">
        <v>0</v>
      </c>
      <c r="Q405" s="1592">
        <f t="shared" si="66"/>
        <v>64</v>
      </c>
    </row>
    <row r="406" spans="1:18">
      <c r="A406" s="1591" t="s">
        <v>984</v>
      </c>
      <c r="B406" s="1591" t="s">
        <v>958</v>
      </c>
      <c r="C406" s="1591">
        <v>0</v>
      </c>
      <c r="D406" s="1591">
        <v>24</v>
      </c>
      <c r="E406" s="1591">
        <v>16</v>
      </c>
      <c r="F406" s="1591">
        <v>0</v>
      </c>
      <c r="G406" s="1591">
        <v>0</v>
      </c>
      <c r="H406" s="1591">
        <v>0</v>
      </c>
      <c r="I406" s="1591">
        <v>34</v>
      </c>
      <c r="J406" s="1591">
        <v>0</v>
      </c>
      <c r="K406" s="1591">
        <v>0</v>
      </c>
      <c r="L406" s="1591">
        <v>0</v>
      </c>
      <c r="M406" s="1591">
        <v>0</v>
      </c>
      <c r="N406" s="1591">
        <v>0</v>
      </c>
      <c r="O406" s="1591">
        <v>0</v>
      </c>
      <c r="P406" s="1591">
        <v>0</v>
      </c>
      <c r="Q406" s="1592">
        <f t="shared" si="66"/>
        <v>74</v>
      </c>
    </row>
    <row r="407" spans="1:18">
      <c r="A407" s="1591" t="s">
        <v>985</v>
      </c>
      <c r="B407" s="1591" t="s">
        <v>958</v>
      </c>
      <c r="C407" s="1591">
        <v>0</v>
      </c>
      <c r="D407" s="1591">
        <v>19</v>
      </c>
      <c r="E407" s="1591">
        <v>16</v>
      </c>
      <c r="F407" s="1591">
        <v>24</v>
      </c>
      <c r="G407" s="1591">
        <v>0</v>
      </c>
      <c r="H407" s="1591">
        <v>0</v>
      </c>
      <c r="I407" s="1591">
        <v>0</v>
      </c>
      <c r="J407" s="1591">
        <v>0</v>
      </c>
      <c r="K407" s="1591">
        <v>0</v>
      </c>
      <c r="L407" s="1591">
        <v>0</v>
      </c>
      <c r="M407" s="1591">
        <v>0</v>
      </c>
      <c r="N407" s="1591">
        <v>0</v>
      </c>
      <c r="O407" s="1591">
        <v>0</v>
      </c>
      <c r="P407" s="1591">
        <v>0</v>
      </c>
      <c r="Q407" s="1592">
        <f t="shared" si="66"/>
        <v>59</v>
      </c>
    </row>
    <row r="408" spans="1:18">
      <c r="A408" s="1591" t="s">
        <v>986</v>
      </c>
      <c r="B408" s="1591" t="s">
        <v>958</v>
      </c>
      <c r="C408" s="1591">
        <v>0</v>
      </c>
      <c r="D408" s="1591">
        <v>23</v>
      </c>
      <c r="E408" s="1591">
        <v>0</v>
      </c>
      <c r="F408" s="1591">
        <v>19</v>
      </c>
      <c r="G408" s="1591">
        <v>0</v>
      </c>
      <c r="H408" s="1591">
        <v>27</v>
      </c>
      <c r="I408" s="1591">
        <v>0</v>
      </c>
      <c r="J408" s="1591">
        <v>0</v>
      </c>
      <c r="K408" s="1591">
        <v>0</v>
      </c>
      <c r="L408" s="1591">
        <v>0</v>
      </c>
      <c r="M408" s="1591">
        <v>0</v>
      </c>
      <c r="N408" s="1591">
        <v>0</v>
      </c>
      <c r="O408" s="1591">
        <v>0</v>
      </c>
      <c r="P408" s="1591">
        <v>0</v>
      </c>
      <c r="Q408" s="1592">
        <f t="shared" si="66"/>
        <v>69</v>
      </c>
    </row>
    <row r="409" spans="1:18">
      <c r="A409" s="1591" t="s">
        <v>987</v>
      </c>
      <c r="B409" s="1591" t="s">
        <v>958</v>
      </c>
      <c r="C409" s="1591">
        <v>0</v>
      </c>
      <c r="D409" s="1591">
        <v>22</v>
      </c>
      <c r="E409" s="1591">
        <v>0</v>
      </c>
      <c r="F409" s="1591">
        <v>0</v>
      </c>
      <c r="G409" s="1591">
        <v>22</v>
      </c>
      <c r="H409" s="1591">
        <v>0</v>
      </c>
      <c r="I409" s="1591">
        <v>32</v>
      </c>
      <c r="J409" s="1591">
        <v>0</v>
      </c>
      <c r="K409" s="1591">
        <v>0</v>
      </c>
      <c r="L409" s="1591">
        <v>0</v>
      </c>
      <c r="M409" s="1591">
        <v>0</v>
      </c>
      <c r="N409" s="1591">
        <v>0</v>
      </c>
      <c r="O409" s="1591">
        <v>0</v>
      </c>
      <c r="P409" s="1591">
        <v>0</v>
      </c>
      <c r="Q409" s="1592">
        <f t="shared" si="66"/>
        <v>76</v>
      </c>
    </row>
    <row r="410" spans="1:18">
      <c r="A410" s="1591" t="s">
        <v>988</v>
      </c>
      <c r="B410" s="1591" t="s">
        <v>958</v>
      </c>
      <c r="C410" s="1591">
        <v>3</v>
      </c>
      <c r="D410" s="1591">
        <v>12</v>
      </c>
      <c r="E410" s="1591">
        <v>18</v>
      </c>
      <c r="F410" s="1591">
        <v>25</v>
      </c>
      <c r="G410" s="1591">
        <v>0</v>
      </c>
      <c r="H410" s="1591">
        <v>0</v>
      </c>
      <c r="I410" s="1591">
        <v>0</v>
      </c>
      <c r="J410" s="1591">
        <v>0</v>
      </c>
      <c r="K410" s="1591">
        <v>0</v>
      </c>
      <c r="L410" s="1591">
        <v>0</v>
      </c>
      <c r="M410" s="1591">
        <v>0</v>
      </c>
      <c r="N410" s="1591">
        <v>0</v>
      </c>
      <c r="O410" s="1591">
        <v>0</v>
      </c>
      <c r="P410" s="1591">
        <v>0</v>
      </c>
      <c r="Q410" s="1592">
        <f t="shared" si="66"/>
        <v>58</v>
      </c>
    </row>
    <row r="411" spans="1:18">
      <c r="A411" s="1592"/>
      <c r="B411" s="1591" t="s">
        <v>958</v>
      </c>
      <c r="C411" s="1592">
        <f>SUM(C399:C410)</f>
        <v>42</v>
      </c>
      <c r="D411" s="1592">
        <f t="shared" ref="D411:O411" si="67">SUM(D399:D410)</f>
        <v>156</v>
      </c>
      <c r="E411" s="1592">
        <f t="shared" si="67"/>
        <v>119</v>
      </c>
      <c r="F411" s="1592">
        <f t="shared" si="67"/>
        <v>150</v>
      </c>
      <c r="G411" s="1592">
        <f t="shared" si="67"/>
        <v>115</v>
      </c>
      <c r="H411" s="1592">
        <f t="shared" si="67"/>
        <v>82</v>
      </c>
      <c r="I411" s="1592">
        <f t="shared" si="67"/>
        <v>66</v>
      </c>
      <c r="J411" s="1592">
        <f t="shared" si="67"/>
        <v>80</v>
      </c>
      <c r="K411" s="1592">
        <f t="shared" si="67"/>
        <v>0</v>
      </c>
      <c r="L411" s="1592">
        <f t="shared" si="67"/>
        <v>0</v>
      </c>
      <c r="M411" s="1592">
        <f t="shared" si="67"/>
        <v>78</v>
      </c>
      <c r="N411" s="1592">
        <f t="shared" si="67"/>
        <v>0</v>
      </c>
      <c r="O411" s="1592">
        <f t="shared" si="67"/>
        <v>0</v>
      </c>
      <c r="P411" s="1592">
        <f>SUM(P399:P410)</f>
        <v>0</v>
      </c>
      <c r="Q411" s="1592">
        <f>SUM(Q399:Q410)</f>
        <v>888</v>
      </c>
      <c r="R411" s="1592"/>
    </row>
    <row r="413" spans="1:18">
      <c r="A413" s="1592" t="s">
        <v>991</v>
      </c>
      <c r="C413" s="1591" t="s">
        <v>960</v>
      </c>
      <c r="D413" s="1591" t="s">
        <v>961</v>
      </c>
      <c r="E413" s="1591" t="s">
        <v>962</v>
      </c>
      <c r="F413" s="1591" t="s">
        <v>963</v>
      </c>
      <c r="G413" s="1591" t="s">
        <v>964</v>
      </c>
      <c r="H413" s="1591" t="s">
        <v>965</v>
      </c>
      <c r="I413" s="1591" t="s">
        <v>966</v>
      </c>
      <c r="J413" s="1591" t="s">
        <v>967</v>
      </c>
      <c r="K413" s="1591" t="s">
        <v>968</v>
      </c>
      <c r="L413" s="1591" t="s">
        <v>969</v>
      </c>
      <c r="M413" s="1591" t="s">
        <v>970</v>
      </c>
      <c r="N413" s="1591" t="s">
        <v>971</v>
      </c>
      <c r="O413" s="1591" t="s">
        <v>972</v>
      </c>
      <c r="P413" s="1591" t="s">
        <v>973</v>
      </c>
      <c r="Q413" s="1592" t="s">
        <v>22</v>
      </c>
    </row>
    <row r="414" spans="1:18">
      <c r="A414" s="1591" t="s">
        <v>977</v>
      </c>
      <c r="B414" s="1596" t="s">
        <v>958</v>
      </c>
      <c r="C414" s="1596">
        <v>0</v>
      </c>
      <c r="D414" s="1596">
        <v>0</v>
      </c>
      <c r="E414" s="1596">
        <v>0</v>
      </c>
      <c r="F414" s="1596">
        <v>0</v>
      </c>
      <c r="G414" s="1596">
        <v>0</v>
      </c>
      <c r="H414" s="1596">
        <v>0</v>
      </c>
      <c r="I414" s="1596">
        <v>33</v>
      </c>
      <c r="J414" s="1596">
        <v>0</v>
      </c>
      <c r="K414" s="1596">
        <v>0</v>
      </c>
      <c r="L414" s="1596">
        <v>0</v>
      </c>
      <c r="M414" s="1596">
        <v>80</v>
      </c>
      <c r="N414" s="1596">
        <v>0</v>
      </c>
      <c r="O414" s="1596">
        <v>0</v>
      </c>
      <c r="P414" s="1591">
        <v>0</v>
      </c>
      <c r="Q414" s="1592">
        <f t="shared" ref="Q414:Q415" si="68">SUM(C414:P414)</f>
        <v>113</v>
      </c>
    </row>
    <row r="415" spans="1:18">
      <c r="A415" s="1591" t="s">
        <v>978</v>
      </c>
      <c r="B415" s="1596" t="s">
        <v>958</v>
      </c>
      <c r="C415" s="1596">
        <v>0</v>
      </c>
      <c r="D415" s="1596">
        <v>20</v>
      </c>
      <c r="E415" s="1596">
        <v>0</v>
      </c>
      <c r="F415" s="1596">
        <v>0</v>
      </c>
      <c r="G415" s="1596">
        <v>0</v>
      </c>
      <c r="H415" s="1596">
        <v>0</v>
      </c>
      <c r="I415" s="1596">
        <v>0</v>
      </c>
      <c r="J415" s="1596">
        <v>0</v>
      </c>
      <c r="K415" s="1596">
        <v>0</v>
      </c>
      <c r="L415" s="1596">
        <v>0</v>
      </c>
      <c r="M415" s="1596">
        <v>67</v>
      </c>
      <c r="N415" s="1596">
        <v>0</v>
      </c>
      <c r="O415" s="1596">
        <v>0</v>
      </c>
      <c r="P415" s="1591">
        <v>0</v>
      </c>
      <c r="Q415" s="1592">
        <f t="shared" si="68"/>
        <v>87</v>
      </c>
    </row>
    <row r="416" spans="1:18">
      <c r="A416" s="1591" t="s">
        <v>979</v>
      </c>
      <c r="B416" s="1596" t="s">
        <v>958</v>
      </c>
      <c r="C416" s="1596">
        <v>0</v>
      </c>
      <c r="D416" s="1596">
        <v>0</v>
      </c>
      <c r="E416" s="1596">
        <v>0</v>
      </c>
      <c r="F416" s="1596">
        <v>0</v>
      </c>
      <c r="G416" s="1596">
        <v>0</v>
      </c>
      <c r="H416" s="1596">
        <v>0</v>
      </c>
      <c r="I416" s="1596">
        <v>0</v>
      </c>
      <c r="J416" s="1596">
        <v>39</v>
      </c>
      <c r="K416" s="1596">
        <v>0</v>
      </c>
      <c r="L416" s="1596">
        <v>0</v>
      </c>
      <c r="M416" s="1596">
        <v>0</v>
      </c>
      <c r="N416" s="1596">
        <v>106</v>
      </c>
      <c r="O416" s="1596">
        <v>0</v>
      </c>
      <c r="P416" s="1591">
        <v>0</v>
      </c>
      <c r="Q416" s="1592">
        <f>SUM(C416:P416)</f>
        <v>145</v>
      </c>
    </row>
    <row r="417" spans="1:18">
      <c r="A417" s="1591" t="s">
        <v>980</v>
      </c>
      <c r="B417" s="1596" t="s">
        <v>958</v>
      </c>
      <c r="C417" s="1596">
        <v>0</v>
      </c>
      <c r="D417" s="1596">
        <v>0</v>
      </c>
      <c r="E417" s="1596">
        <v>0</v>
      </c>
      <c r="F417" s="1596">
        <v>0</v>
      </c>
      <c r="G417" s="1596">
        <v>0</v>
      </c>
      <c r="H417" s="1596">
        <v>0</v>
      </c>
      <c r="I417" s="1596">
        <v>0</v>
      </c>
      <c r="J417" s="1596">
        <v>0</v>
      </c>
      <c r="K417" s="1596">
        <v>0</v>
      </c>
      <c r="L417" s="1596">
        <v>0</v>
      </c>
      <c r="M417" s="1596">
        <v>94</v>
      </c>
      <c r="N417" s="1596">
        <v>234</v>
      </c>
      <c r="O417" s="1596">
        <v>0</v>
      </c>
      <c r="P417" s="1591">
        <v>0</v>
      </c>
      <c r="Q417" s="1592">
        <f>SUM(C417:P417)</f>
        <v>328</v>
      </c>
    </row>
    <row r="418" spans="1:18">
      <c r="A418" s="1591" t="s">
        <v>981</v>
      </c>
      <c r="B418" s="1596" t="s">
        <v>958</v>
      </c>
      <c r="C418" s="1596">
        <v>0</v>
      </c>
      <c r="D418" s="1596">
        <v>20</v>
      </c>
      <c r="E418" s="1596">
        <v>0</v>
      </c>
      <c r="F418" s="1596">
        <v>0</v>
      </c>
      <c r="G418" s="1596">
        <v>0</v>
      </c>
      <c r="H418" s="1596">
        <v>0</v>
      </c>
      <c r="I418" s="1596">
        <v>0</v>
      </c>
      <c r="J418" s="1596">
        <v>0</v>
      </c>
      <c r="K418" s="1596">
        <v>0</v>
      </c>
      <c r="L418" s="1596">
        <v>0</v>
      </c>
      <c r="M418" s="1596">
        <v>0</v>
      </c>
      <c r="N418" s="1596">
        <v>0</v>
      </c>
      <c r="O418" s="1596">
        <v>0</v>
      </c>
      <c r="P418" s="1591">
        <v>0</v>
      </c>
      <c r="Q418" s="1592">
        <f t="shared" ref="Q418:Q425" si="69">SUM(C418:P418)</f>
        <v>20</v>
      </c>
    </row>
    <row r="419" spans="1:18">
      <c r="A419" s="1591" t="s">
        <v>982</v>
      </c>
      <c r="B419" s="1596" t="s">
        <v>958</v>
      </c>
      <c r="C419" s="1596">
        <v>0</v>
      </c>
      <c r="D419" s="1596">
        <v>0</v>
      </c>
      <c r="E419" s="1596">
        <v>0</v>
      </c>
      <c r="F419" s="1596">
        <v>0</v>
      </c>
      <c r="G419" s="1596">
        <v>0</v>
      </c>
      <c r="H419" s="1596">
        <v>0</v>
      </c>
      <c r="I419" s="1596">
        <v>0</v>
      </c>
      <c r="J419" s="1596">
        <v>0</v>
      </c>
      <c r="K419" s="1596">
        <v>0</v>
      </c>
      <c r="L419" s="1596">
        <v>0</v>
      </c>
      <c r="M419" s="1596">
        <v>70</v>
      </c>
      <c r="N419" s="1596">
        <v>0</v>
      </c>
      <c r="O419" s="1596">
        <v>234</v>
      </c>
      <c r="P419" s="1591">
        <v>0</v>
      </c>
      <c r="Q419" s="1592">
        <f t="shared" si="69"/>
        <v>304</v>
      </c>
    </row>
    <row r="420" spans="1:18">
      <c r="A420" s="1591" t="s">
        <v>983</v>
      </c>
      <c r="B420" s="1596" t="s">
        <v>958</v>
      </c>
      <c r="C420" s="1596">
        <v>0</v>
      </c>
      <c r="D420" s="1596">
        <v>6</v>
      </c>
      <c r="E420" s="1596">
        <v>0</v>
      </c>
      <c r="F420" s="1596">
        <v>17</v>
      </c>
      <c r="G420" s="1596">
        <v>0</v>
      </c>
      <c r="H420" s="1596">
        <v>0</v>
      </c>
      <c r="I420" s="1596">
        <v>0</v>
      </c>
      <c r="J420" s="1596">
        <v>0</v>
      </c>
      <c r="K420" s="1596">
        <v>0</v>
      </c>
      <c r="L420" s="1596">
        <v>0</v>
      </c>
      <c r="M420" s="1596">
        <v>0</v>
      </c>
      <c r="N420" s="1596">
        <v>0</v>
      </c>
      <c r="O420" s="1596">
        <v>0</v>
      </c>
      <c r="P420" s="1591">
        <v>0</v>
      </c>
      <c r="Q420" s="1592">
        <f t="shared" si="69"/>
        <v>23</v>
      </c>
    </row>
    <row r="421" spans="1:18">
      <c r="A421" s="1591" t="s">
        <v>984</v>
      </c>
      <c r="B421" s="1596" t="s">
        <v>958</v>
      </c>
      <c r="C421" s="1596">
        <v>0</v>
      </c>
      <c r="D421" s="1596">
        <v>0</v>
      </c>
      <c r="E421" s="1596">
        <v>0</v>
      </c>
      <c r="F421" s="1596">
        <v>0</v>
      </c>
      <c r="G421" s="1596">
        <v>0</v>
      </c>
      <c r="H421" s="1596">
        <v>0</v>
      </c>
      <c r="I421" s="1596">
        <v>31</v>
      </c>
      <c r="J421" s="1596">
        <v>0</v>
      </c>
      <c r="K421" s="1596">
        <v>0</v>
      </c>
      <c r="L421" s="1596">
        <v>0</v>
      </c>
      <c r="M421" s="1596">
        <v>97</v>
      </c>
      <c r="N421" s="1596">
        <v>0</v>
      </c>
      <c r="O421" s="1596">
        <v>0</v>
      </c>
      <c r="P421" s="1591">
        <v>0</v>
      </c>
      <c r="Q421" s="1592">
        <f t="shared" si="69"/>
        <v>128</v>
      </c>
    </row>
    <row r="422" spans="1:18">
      <c r="A422" s="1591" t="s">
        <v>985</v>
      </c>
      <c r="B422" s="1596" t="s">
        <v>958</v>
      </c>
      <c r="C422" s="1596">
        <v>0</v>
      </c>
      <c r="D422" s="1596">
        <v>0</v>
      </c>
      <c r="E422" s="1596">
        <v>0</v>
      </c>
      <c r="F422" s="1596">
        <v>0</v>
      </c>
      <c r="G422" s="1596">
        <v>0</v>
      </c>
      <c r="H422" s="1596">
        <v>0</v>
      </c>
      <c r="I422" s="1596">
        <v>0</v>
      </c>
      <c r="J422" s="1596">
        <v>37</v>
      </c>
      <c r="K422" s="1596">
        <v>0</v>
      </c>
      <c r="L422" s="1596">
        <v>0</v>
      </c>
      <c r="M422" s="1596">
        <v>0</v>
      </c>
      <c r="N422" s="1596">
        <v>135</v>
      </c>
      <c r="O422" s="1596">
        <v>0</v>
      </c>
      <c r="P422" s="1591">
        <v>0</v>
      </c>
      <c r="Q422" s="1592">
        <f t="shared" si="69"/>
        <v>172</v>
      </c>
    </row>
    <row r="423" spans="1:18">
      <c r="A423" s="1591" t="s">
        <v>986</v>
      </c>
      <c r="B423" s="1596" t="s">
        <v>958</v>
      </c>
      <c r="C423" s="1596">
        <v>0</v>
      </c>
      <c r="D423" s="1596">
        <v>0</v>
      </c>
      <c r="E423" s="1596">
        <v>0</v>
      </c>
      <c r="F423" s="1596">
        <v>0</v>
      </c>
      <c r="G423" s="1596">
        <v>0</v>
      </c>
      <c r="H423" s="1596">
        <v>0</v>
      </c>
      <c r="I423" s="1596">
        <v>0</v>
      </c>
      <c r="J423" s="1596">
        <v>0</v>
      </c>
      <c r="K423" s="1596">
        <v>0</v>
      </c>
      <c r="L423" s="1596">
        <v>0</v>
      </c>
      <c r="M423" s="1596">
        <v>80</v>
      </c>
      <c r="N423" s="1596">
        <v>114</v>
      </c>
      <c r="O423" s="1596">
        <v>0</v>
      </c>
      <c r="P423" s="1591">
        <v>0</v>
      </c>
      <c r="Q423" s="1592">
        <f t="shared" si="69"/>
        <v>194</v>
      </c>
    </row>
    <row r="424" spans="1:18">
      <c r="A424" s="1591" t="s">
        <v>987</v>
      </c>
      <c r="B424" s="1596" t="s">
        <v>958</v>
      </c>
      <c r="C424" s="1596">
        <v>0</v>
      </c>
      <c r="D424" s="1596">
        <v>6</v>
      </c>
      <c r="E424" s="1596">
        <v>0</v>
      </c>
      <c r="F424" s="1596">
        <v>0</v>
      </c>
      <c r="G424" s="1596">
        <v>0</v>
      </c>
      <c r="H424" s="1596">
        <v>0</v>
      </c>
      <c r="I424" s="1596">
        <v>0</v>
      </c>
      <c r="J424" s="1596">
        <v>0</v>
      </c>
      <c r="K424" s="1596">
        <v>0</v>
      </c>
      <c r="L424" s="1596">
        <v>0</v>
      </c>
      <c r="M424" s="1596">
        <v>0</v>
      </c>
      <c r="N424" s="1596">
        <v>109</v>
      </c>
      <c r="O424" s="1596">
        <v>0</v>
      </c>
      <c r="P424" s="1591">
        <v>0</v>
      </c>
      <c r="Q424" s="1592">
        <f t="shared" si="69"/>
        <v>115</v>
      </c>
    </row>
    <row r="425" spans="1:18">
      <c r="A425" s="1591" t="s">
        <v>988</v>
      </c>
      <c r="B425" s="1596" t="s">
        <v>958</v>
      </c>
      <c r="C425" s="1596">
        <v>0</v>
      </c>
      <c r="D425" s="1596">
        <v>0</v>
      </c>
      <c r="E425" s="1596">
        <v>0</v>
      </c>
      <c r="F425" s="1596">
        <v>0</v>
      </c>
      <c r="G425" s="1596">
        <v>0</v>
      </c>
      <c r="H425" s="1596">
        <v>0</v>
      </c>
      <c r="I425" s="1596">
        <v>34</v>
      </c>
      <c r="J425" s="1596">
        <v>0</v>
      </c>
      <c r="K425" s="1596">
        <v>0</v>
      </c>
      <c r="L425" s="1596">
        <v>0</v>
      </c>
      <c r="M425" s="1596">
        <v>0</v>
      </c>
      <c r="N425" s="1596">
        <v>103</v>
      </c>
      <c r="O425" s="1596">
        <v>0</v>
      </c>
      <c r="P425" s="1591">
        <v>0</v>
      </c>
      <c r="Q425" s="1592">
        <f t="shared" si="69"/>
        <v>137</v>
      </c>
    </row>
    <row r="426" spans="1:18">
      <c r="A426" s="1592"/>
      <c r="B426" s="1591" t="s">
        <v>958</v>
      </c>
      <c r="C426" s="1592">
        <f>SUM(C414:C425)</f>
        <v>0</v>
      </c>
      <c r="D426" s="1592">
        <f t="shared" ref="D426:O426" si="70">SUM(D414:D425)</f>
        <v>52</v>
      </c>
      <c r="E426" s="1592">
        <f t="shared" si="70"/>
        <v>0</v>
      </c>
      <c r="F426" s="1592">
        <f t="shared" si="70"/>
        <v>17</v>
      </c>
      <c r="G426" s="1592">
        <f t="shared" si="70"/>
        <v>0</v>
      </c>
      <c r="H426" s="1592">
        <f t="shared" si="70"/>
        <v>0</v>
      </c>
      <c r="I426" s="1592">
        <f t="shared" si="70"/>
        <v>98</v>
      </c>
      <c r="J426" s="1592">
        <f t="shared" si="70"/>
        <v>76</v>
      </c>
      <c r="K426" s="1592">
        <f t="shared" si="70"/>
        <v>0</v>
      </c>
      <c r="L426" s="1592">
        <f t="shared" si="70"/>
        <v>0</v>
      </c>
      <c r="M426" s="1592">
        <f t="shared" si="70"/>
        <v>488</v>
      </c>
      <c r="N426" s="1592">
        <f t="shared" si="70"/>
        <v>801</v>
      </c>
      <c r="O426" s="1592">
        <f t="shared" si="70"/>
        <v>234</v>
      </c>
      <c r="P426" s="1592">
        <f>SUM(P414:P425)</f>
        <v>0</v>
      </c>
      <c r="Q426" s="1592">
        <f>SUM(Q414:Q425)</f>
        <v>1766</v>
      </c>
      <c r="R426" s="1592"/>
    </row>
    <row r="427" spans="1:18" ht="15.75" thickBot="1">
      <c r="A427" s="1788"/>
      <c r="B427" s="1787" t="s">
        <v>913</v>
      </c>
      <c r="C427" s="1787">
        <f>C381+C396+C411+C426</f>
        <v>225</v>
      </c>
      <c r="D427" s="1787">
        <f t="shared" ref="D427:Q427" si="71">D381+D396+D411+D426</f>
        <v>1693</v>
      </c>
      <c r="E427" s="1787">
        <f t="shared" si="71"/>
        <v>1089</v>
      </c>
      <c r="F427" s="1787">
        <f t="shared" si="71"/>
        <v>1402</v>
      </c>
      <c r="G427" s="1787">
        <f t="shared" si="71"/>
        <v>1474</v>
      </c>
      <c r="H427" s="1787">
        <f t="shared" si="71"/>
        <v>1476</v>
      </c>
      <c r="I427" s="1787">
        <f t="shared" si="71"/>
        <v>1306</v>
      </c>
      <c r="J427" s="1787">
        <f t="shared" si="71"/>
        <v>1306</v>
      </c>
      <c r="K427" s="1787">
        <f t="shared" si="71"/>
        <v>1295</v>
      </c>
      <c r="L427" s="1787">
        <f t="shared" si="71"/>
        <v>3622</v>
      </c>
      <c r="M427" s="1787">
        <f t="shared" si="71"/>
        <v>11224</v>
      </c>
      <c r="N427" s="1787">
        <f t="shared" si="71"/>
        <v>4730</v>
      </c>
      <c r="O427" s="1787">
        <f t="shared" si="71"/>
        <v>805</v>
      </c>
      <c r="P427" s="1787">
        <f t="shared" si="71"/>
        <v>8601</v>
      </c>
      <c r="Q427" s="1787">
        <f t="shared" si="71"/>
        <v>40248</v>
      </c>
    </row>
    <row r="428" spans="1:18" ht="15.75" thickTop="1">
      <c r="Q428" s="1591"/>
    </row>
    <row r="429" spans="1:18">
      <c r="Q429" s="1591"/>
    </row>
    <row r="430" spans="1:18">
      <c r="Q430" s="1591"/>
    </row>
    <row r="431" spans="1:18">
      <c r="Q431" s="1591"/>
    </row>
    <row r="432" spans="1:18">
      <c r="Q432" s="1591"/>
    </row>
    <row r="433" spans="3:17">
      <c r="Q433" s="1591"/>
    </row>
    <row r="434" spans="3:17">
      <c r="Q434" s="1591"/>
    </row>
    <row r="435" spans="3:17">
      <c r="Q435" s="1591"/>
    </row>
    <row r="436" spans="3:17">
      <c r="Q436" s="1591"/>
    </row>
    <row r="437" spans="3:17">
      <c r="Q437" s="1591"/>
    </row>
    <row r="438" spans="3:17">
      <c r="Q438" s="1591"/>
    </row>
    <row r="439" spans="3:17">
      <c r="Q439" s="1591"/>
    </row>
    <row r="440" spans="3:17">
      <c r="Q440" s="1591"/>
    </row>
    <row r="441" spans="3:17">
      <c r="Q441" s="1591"/>
    </row>
    <row r="442" spans="3:17">
      <c r="Q442" s="1591"/>
    </row>
    <row r="443" spans="3:17">
      <c r="Q443" s="1591"/>
    </row>
    <row r="444" spans="3:17">
      <c r="Q444" s="1591"/>
    </row>
    <row r="445" spans="3:17">
      <c r="Q445" s="1591"/>
    </row>
    <row r="446" spans="3:17">
      <c r="Q446" s="1591"/>
    </row>
    <row r="447" spans="3:17">
      <c r="C447" s="1795"/>
      <c r="D447" s="1795"/>
      <c r="E447" s="1795"/>
      <c r="F447" s="1795"/>
      <c r="G447" s="1795"/>
      <c r="H447" s="1795"/>
      <c r="I447" s="1795"/>
      <c r="J447" s="1795"/>
      <c r="K447" s="1795"/>
      <c r="L447" s="1795"/>
      <c r="M447" s="1795"/>
      <c r="N447" s="1813">
        <f>M19+O19</f>
        <v>74622</v>
      </c>
      <c r="O447" s="1795"/>
      <c r="P447" s="1795"/>
      <c r="Q447" s="1795"/>
    </row>
  </sheetData>
  <mergeCells count="8">
    <mergeCell ref="B2:O2"/>
    <mergeCell ref="B3:C3"/>
    <mergeCell ref="D3:E3"/>
    <mergeCell ref="F3:G3"/>
    <mergeCell ref="H3:I3"/>
    <mergeCell ref="J3:K3"/>
    <mergeCell ref="L3:M3"/>
    <mergeCell ref="N3:O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R75"/>
  <sheetViews>
    <sheetView topLeftCell="C75" zoomScale="110" zoomScaleNormal="110" workbookViewId="0">
      <selection activeCell="F16" sqref="F16"/>
    </sheetView>
  </sheetViews>
  <sheetFormatPr defaultRowHeight="15"/>
  <cols>
    <col min="1" max="1" width="9.140625" style="377"/>
    <col min="2" max="2" width="33.42578125" style="377" customWidth="1"/>
    <col min="3" max="4" width="16.28515625" style="377" bestFit="1" customWidth="1"/>
    <col min="5" max="5" width="18.140625" style="377" customWidth="1"/>
    <col min="6" max="11" width="14.85546875" style="377" bestFit="1" customWidth="1"/>
    <col min="12" max="12" width="9.140625" style="377"/>
    <col min="13" max="13" width="13" style="377" customWidth="1"/>
    <col min="14" max="14" width="9.140625" style="377"/>
    <col min="15" max="15" width="11.28515625" style="377" customWidth="1"/>
    <col min="16" max="16" width="15.5703125" style="377" customWidth="1"/>
    <col min="17" max="17" width="11.42578125" style="377" customWidth="1"/>
    <col min="18" max="18" width="15.28515625" style="377" customWidth="1"/>
    <col min="19" max="16384" width="9.140625" style="377"/>
  </cols>
  <sheetData>
    <row r="1" spans="2:18">
      <c r="D1" s="1689"/>
      <c r="E1" s="251">
        <f>E4*0.6</f>
        <v>3367511.4</v>
      </c>
      <c r="F1" s="1690">
        <f>223000000/E1</f>
        <v>66.221008190202411</v>
      </c>
      <c r="G1" s="1689"/>
      <c r="H1" s="243"/>
      <c r="I1" s="1689"/>
      <c r="J1" s="1689"/>
      <c r="K1" s="1689"/>
    </row>
    <row r="2" spans="2:18">
      <c r="B2" s="1663" t="s">
        <v>356</v>
      </c>
      <c r="G2" s="240"/>
      <c r="H2" s="167"/>
    </row>
    <row r="3" spans="2:18">
      <c r="C3" s="1663">
        <v>2018</v>
      </c>
      <c r="D3" s="1663">
        <v>2019</v>
      </c>
      <c r="E3" s="1663">
        <v>2020</v>
      </c>
      <c r="F3" s="1663">
        <f t="shared" ref="F3:K3" si="0">E3+1</f>
        <v>2021</v>
      </c>
      <c r="G3" s="1663">
        <f t="shared" si="0"/>
        <v>2022</v>
      </c>
      <c r="H3" s="1663">
        <f>G3+1</f>
        <v>2023</v>
      </c>
      <c r="I3" s="1663">
        <f t="shared" si="0"/>
        <v>2024</v>
      </c>
      <c r="J3" s="1663">
        <f t="shared" si="0"/>
        <v>2025</v>
      </c>
      <c r="K3" s="1663">
        <f t="shared" si="0"/>
        <v>2026</v>
      </c>
      <c r="P3" s="152"/>
      <c r="Q3" s="167"/>
    </row>
    <row r="4" spans="2:18">
      <c r="B4" s="377" t="s">
        <v>416</v>
      </c>
      <c r="C4" s="145">
        <v>5572884</v>
      </c>
      <c r="D4" s="145">
        <f>'PRODUCTION AND BILLING'!B16</f>
        <v>5612519</v>
      </c>
      <c r="E4" s="145">
        <f>'PRODUCTION AND BILLING'!B16</f>
        <v>5612519</v>
      </c>
      <c r="F4" s="145">
        <f>'PRODUCTION AND BILLING'!F16</f>
        <v>5432762</v>
      </c>
      <c r="G4" s="145">
        <f>E4</f>
        <v>5612519</v>
      </c>
      <c r="H4" s="145">
        <f>G4</f>
        <v>5612519</v>
      </c>
      <c r="I4" s="145">
        <f>H4</f>
        <v>5612519</v>
      </c>
      <c r="J4" s="145">
        <f>I4</f>
        <v>5612519</v>
      </c>
      <c r="K4" s="145">
        <f>J4</f>
        <v>5612519</v>
      </c>
      <c r="L4" s="145"/>
      <c r="P4" s="168"/>
      <c r="Q4" s="167"/>
    </row>
    <row r="5" spans="2:18">
      <c r="B5" s="237"/>
      <c r="C5" s="145"/>
      <c r="D5" s="145"/>
      <c r="E5" s="145"/>
      <c r="H5" s="152"/>
      <c r="P5" s="168"/>
      <c r="Q5" s="167"/>
      <c r="R5" s="167"/>
    </row>
    <row r="6" spans="2:18">
      <c r="B6" s="237"/>
      <c r="C6" s="145"/>
      <c r="D6" s="145"/>
      <c r="E6" s="145"/>
      <c r="G6" s="152"/>
    </row>
    <row r="7" spans="2:18">
      <c r="B7" s="377" t="s">
        <v>411</v>
      </c>
      <c r="C7" s="194">
        <f t="shared" ref="C7:J7" si="1">C12/C19</f>
        <v>0.81803286919708573</v>
      </c>
      <c r="D7" s="194">
        <f t="shared" si="1"/>
        <v>0.81803304619319228</v>
      </c>
      <c r="E7" s="304">
        <f t="shared" si="1"/>
        <v>0.81803304619319228</v>
      </c>
      <c r="F7" s="194">
        <f>F12/F19</f>
        <v>0.82726459121286833</v>
      </c>
      <c r="G7" s="194">
        <f t="shared" si="1"/>
        <v>0.82034088819908468</v>
      </c>
      <c r="H7" s="194">
        <f t="shared" si="1"/>
        <v>0.82034088819908468</v>
      </c>
      <c r="I7" s="194">
        <f t="shared" si="1"/>
        <v>0.82034088819908468</v>
      </c>
      <c r="J7" s="194">
        <f t="shared" si="1"/>
        <v>0.82034088819908468</v>
      </c>
      <c r="K7" s="194">
        <f>(+K4-J4)/+J4</f>
        <v>0</v>
      </c>
      <c r="P7" s="168"/>
    </row>
    <row r="8" spans="2:18">
      <c r="C8" s="145"/>
      <c r="D8" s="145"/>
      <c r="E8" s="145"/>
      <c r="F8" s="194"/>
      <c r="G8" s="194"/>
      <c r="H8" s="194"/>
      <c r="I8" s="194"/>
      <c r="J8" s="194"/>
      <c r="K8" s="194"/>
      <c r="P8" s="168"/>
    </row>
    <row r="9" spans="2:18">
      <c r="C9" s="145"/>
      <c r="D9" s="145"/>
      <c r="E9" s="145"/>
      <c r="P9" s="242"/>
    </row>
    <row r="10" spans="2:18" s="1483" customFormat="1" ht="18.75">
      <c r="E10" s="1483" t="s">
        <v>577</v>
      </c>
      <c r="F10" s="1691" t="s">
        <v>576</v>
      </c>
      <c r="G10" s="1692" t="s">
        <v>571</v>
      </c>
      <c r="H10" s="1692" t="s">
        <v>572</v>
      </c>
      <c r="I10" s="1692" t="s">
        <v>573</v>
      </c>
      <c r="J10" s="1692" t="s">
        <v>574</v>
      </c>
      <c r="K10" s="1692" t="s">
        <v>575</v>
      </c>
      <c r="M10" s="2007" t="s">
        <v>492</v>
      </c>
      <c r="N10" s="2007"/>
      <c r="O10" s="2007"/>
      <c r="P10" s="2007"/>
    </row>
    <row r="11" spans="2:18">
      <c r="B11" s="196" t="s">
        <v>385</v>
      </c>
      <c r="C11" s="197">
        <v>2018</v>
      </c>
      <c r="D11" s="197">
        <v>2019</v>
      </c>
      <c r="E11" s="197">
        <v>2020</v>
      </c>
      <c r="F11" s="197">
        <f t="shared" ref="F11:K11" si="2">E11+1</f>
        <v>2021</v>
      </c>
      <c r="G11" s="197">
        <f t="shared" si="2"/>
        <v>2022</v>
      </c>
      <c r="H11" s="197">
        <f t="shared" si="2"/>
        <v>2023</v>
      </c>
      <c r="I11" s="197">
        <f t="shared" si="2"/>
        <v>2024</v>
      </c>
      <c r="J11" s="197">
        <f t="shared" si="2"/>
        <v>2025</v>
      </c>
      <c r="K11" s="198">
        <f t="shared" si="2"/>
        <v>2026</v>
      </c>
      <c r="M11" s="1663">
        <v>2018</v>
      </c>
      <c r="N11" s="1663">
        <v>2019</v>
      </c>
      <c r="O11" s="1663">
        <v>2020</v>
      </c>
      <c r="P11" s="1663">
        <v>2021</v>
      </c>
      <c r="Q11" s="1663" t="s">
        <v>493</v>
      </c>
    </row>
    <row r="12" spans="2:18">
      <c r="B12" s="79" t="s">
        <v>485</v>
      </c>
      <c r="C12" s="1563">
        <v>2166857</v>
      </c>
      <c r="D12" s="267">
        <v>2332393</v>
      </c>
      <c r="E12" s="267">
        <v>2332393</v>
      </c>
      <c r="F12" s="1693">
        <v>2412560</v>
      </c>
      <c r="G12" s="1693">
        <f t="shared" ref="G12:G17" si="3">Q12*$G$18</f>
        <v>3098619.1171389725</v>
      </c>
      <c r="H12" s="1693">
        <f t="shared" ref="H12:H17" si="4">Q12*$H$18</f>
        <v>3098619.1171389725</v>
      </c>
      <c r="I12" s="1693">
        <f>$I$18*Q12</f>
        <v>3144867.1636634348</v>
      </c>
      <c r="J12" s="1693">
        <f>$J$18*Q12</f>
        <v>3191115.2101878971</v>
      </c>
      <c r="K12" s="284">
        <f t="shared" ref="K12:K17" si="5">$K$18*Q12</f>
        <v>3237363.2567123598</v>
      </c>
      <c r="M12" s="274">
        <f>C12/$C$18</f>
        <v>0.81803286919708573</v>
      </c>
      <c r="N12" s="274">
        <f t="shared" ref="N12:N17" si="6">D12/$D$18</f>
        <v>0.81803304619319228</v>
      </c>
      <c r="O12" s="275">
        <f t="shared" ref="O12:O17" si="7">E12/$E$18</f>
        <v>0.81803304619319228</v>
      </c>
      <c r="P12" s="1588">
        <f>F12/$F$18</f>
        <v>0.82726459121286833</v>
      </c>
      <c r="Q12" s="275">
        <f>AVERAGE(M12:P12)</f>
        <v>0.82034088819908468</v>
      </c>
    </row>
    <row r="13" spans="2:18">
      <c r="B13" s="79" t="s">
        <v>12</v>
      </c>
      <c r="C13" s="267">
        <v>118483</v>
      </c>
      <c r="D13" s="267">
        <v>127534</v>
      </c>
      <c r="E13" s="267">
        <v>127534</v>
      </c>
      <c r="F13" s="1693">
        <v>172088</v>
      </c>
      <c r="G13" s="1693">
        <f t="shared" si="3"/>
        <v>182438.29421091761</v>
      </c>
      <c r="H13" s="1693">
        <f t="shared" si="4"/>
        <v>182438.29421091761</v>
      </c>
      <c r="I13" s="1693">
        <f>$I$18*Q13</f>
        <v>185161.25382600591</v>
      </c>
      <c r="J13" s="1693">
        <f>$J$18*Q13</f>
        <v>187884.21344109424</v>
      </c>
      <c r="K13" s="284">
        <f t="shared" si="5"/>
        <v>190607.17305618257</v>
      </c>
      <c r="M13" s="274">
        <f t="shared" ref="M13:M17" si="8">C13/$C$18</f>
        <v>4.4729757635634609E-2</v>
      </c>
      <c r="N13" s="274">
        <f t="shared" si="6"/>
        <v>4.4729608823728499E-2</v>
      </c>
      <c r="O13" s="275">
        <f t="shared" si="7"/>
        <v>4.4729608823728499E-2</v>
      </c>
      <c r="P13" s="1588">
        <f t="shared" ref="P13:P16" si="9">F13/$F$18</f>
        <v>5.9008815935205794E-2</v>
      </c>
      <c r="Q13" s="275">
        <f t="shared" ref="Q13:Q17" si="10">AVERAGE(M13:P13)</f>
        <v>4.8299447804574354E-2</v>
      </c>
    </row>
    <row r="14" spans="2:18">
      <c r="B14" s="79" t="s">
        <v>486</v>
      </c>
      <c r="C14" s="267">
        <v>108</v>
      </c>
      <c r="D14" s="267">
        <v>117</v>
      </c>
      <c r="E14" s="267">
        <v>117</v>
      </c>
      <c r="F14" s="1693">
        <v>0</v>
      </c>
      <c r="G14" s="1693">
        <f t="shared" si="3"/>
        <v>116.00102635495531</v>
      </c>
      <c r="H14" s="1693">
        <f t="shared" si="4"/>
        <v>116.00102635495531</v>
      </c>
      <c r="I14" s="1693">
        <f>$I$18*Q14</f>
        <v>117.73238495726808</v>
      </c>
      <c r="J14" s="1693">
        <f>$J$18*Q14</f>
        <v>119.46374355958085</v>
      </c>
      <c r="K14" s="284">
        <f t="shared" si="5"/>
        <v>121.19510216189363</v>
      </c>
      <c r="M14" s="274">
        <f t="shared" si="8"/>
        <v>4.0772210567326435E-5</v>
      </c>
      <c r="N14" s="274">
        <f t="shared" si="6"/>
        <v>4.103505129907503E-5</v>
      </c>
      <c r="O14" s="275">
        <f t="shared" si="7"/>
        <v>4.103505129907503E-5</v>
      </c>
      <c r="P14" s="1588">
        <f t="shared" si="9"/>
        <v>0</v>
      </c>
      <c r="Q14" s="275">
        <f t="shared" si="10"/>
        <v>3.0710578291369119E-5</v>
      </c>
    </row>
    <row r="15" spans="2:18">
      <c r="B15" s="79" t="s">
        <v>20</v>
      </c>
      <c r="C15" s="267">
        <v>328851</v>
      </c>
      <c r="D15" s="267">
        <v>353973</v>
      </c>
      <c r="E15" s="267">
        <v>353973</v>
      </c>
      <c r="F15" s="1693">
        <v>195576</v>
      </c>
      <c r="G15" s="1693">
        <f t="shared" si="3"/>
        <v>415029.71385107277</v>
      </c>
      <c r="H15" s="1693">
        <f t="shared" si="4"/>
        <v>415029.71385107277</v>
      </c>
      <c r="I15" s="1693">
        <f>$I$18*Q15</f>
        <v>421224.18719213357</v>
      </c>
      <c r="J15" s="1693">
        <f>$J$18*Q15</f>
        <v>427418.66053319437</v>
      </c>
      <c r="K15" s="284">
        <f t="shared" si="5"/>
        <v>433613.13387425517</v>
      </c>
      <c r="M15" s="274">
        <f t="shared" si="8"/>
        <v>0.12414798349329505</v>
      </c>
      <c r="N15" s="274">
        <f t="shared" si="6"/>
        <v>0.12414786507254261</v>
      </c>
      <c r="O15" s="275">
        <f t="shared" si="7"/>
        <v>0.12414786507254261</v>
      </c>
      <c r="P15" s="1588">
        <f t="shared" si="9"/>
        <v>6.706282939742346E-2</v>
      </c>
      <c r="Q15" s="275">
        <f t="shared" si="10"/>
        <v>0.10987663575895093</v>
      </c>
    </row>
    <row r="16" spans="2:18" s="1483" customFormat="1">
      <c r="B16" s="1694" t="s">
        <v>362</v>
      </c>
      <c r="C16" s="1563"/>
      <c r="D16" s="1563"/>
      <c r="E16" s="1695"/>
      <c r="F16" s="1695">
        <v>88404</v>
      </c>
      <c r="G16" s="1695">
        <f t="shared" si="3"/>
        <v>28625.433670473984</v>
      </c>
      <c r="H16" s="1695">
        <f t="shared" si="4"/>
        <v>28625.433670473984</v>
      </c>
      <c r="I16" s="1695">
        <f>I18*$Q$16</f>
        <v>29052.678949137775</v>
      </c>
      <c r="J16" s="1695">
        <f>J18*$Q$16</f>
        <v>29479.92422780157</v>
      </c>
      <c r="K16" s="1589">
        <f t="shared" si="5"/>
        <v>29907.169506465361</v>
      </c>
      <c r="M16" s="1696">
        <f>C16/$C$18</f>
        <v>0</v>
      </c>
      <c r="N16" s="1696">
        <f t="shared" si="6"/>
        <v>0</v>
      </c>
      <c r="O16" s="1697">
        <f t="shared" si="7"/>
        <v>0</v>
      </c>
      <c r="P16" s="1698">
        <f t="shared" si="9"/>
        <v>3.0313649783459233E-2</v>
      </c>
      <c r="Q16" s="1697">
        <f t="shared" si="10"/>
        <v>7.5784124458648083E-3</v>
      </c>
    </row>
    <row r="17" spans="2:17">
      <c r="B17" s="80" t="s">
        <v>487</v>
      </c>
      <c r="C17" s="1558">
        <v>34564</v>
      </c>
      <c r="D17" s="1558">
        <v>37204</v>
      </c>
      <c r="E17" s="1558">
        <v>37204</v>
      </c>
      <c r="F17" s="1693">
        <v>47682</v>
      </c>
      <c r="G17" s="1541">
        <f t="shared" si="3"/>
        <v>52404.980102207861</v>
      </c>
      <c r="H17" s="1541">
        <f t="shared" si="4"/>
        <v>52404.980102207861</v>
      </c>
      <c r="I17" s="1541">
        <f>$I$18*Q17</f>
        <v>53187.143984330367</v>
      </c>
      <c r="J17" s="1541">
        <f>$J$18*Q17</f>
        <v>53969.307866452873</v>
      </c>
      <c r="K17" s="1542">
        <f t="shared" si="5"/>
        <v>54751.471748575379</v>
      </c>
      <c r="M17" s="274">
        <f t="shared" si="8"/>
        <v>1.3048617463417322E-2</v>
      </c>
      <c r="N17" s="274">
        <f t="shared" si="6"/>
        <v>1.3048444859237498E-2</v>
      </c>
      <c r="O17" s="275">
        <f t="shared" si="7"/>
        <v>1.3048444859237498E-2</v>
      </c>
      <c r="P17" s="1588">
        <f>F17/$F$18</f>
        <v>1.6350113671043203E-2</v>
      </c>
      <c r="Q17" s="275">
        <f t="shared" si="10"/>
        <v>1.3873905213233881E-2</v>
      </c>
    </row>
    <row r="18" spans="2:17" ht="15.75" thickBot="1">
      <c r="B18" s="266" t="s">
        <v>22</v>
      </c>
      <c r="C18" s="257">
        <f>SUM(C12:C17)</f>
        <v>2648863</v>
      </c>
      <c r="D18" s="257">
        <f>SUM(D12:D17)</f>
        <v>2851221</v>
      </c>
      <c r="E18" s="257">
        <f>SUM(E12:E17)</f>
        <v>2851221</v>
      </c>
      <c r="F18" s="257">
        <f>SUM(F12:F17)</f>
        <v>2916310</v>
      </c>
      <c r="G18" s="270">
        <f>'[15]Annex 2'!H17</f>
        <v>3777233.5399999996</v>
      </c>
      <c r="H18" s="270">
        <f>'[15]Annex 2'!I17</f>
        <v>3777233.5399999996</v>
      </c>
      <c r="I18" s="270">
        <f>'[15]Annex 2'!J17</f>
        <v>3833610.1599999997</v>
      </c>
      <c r="J18" s="270">
        <f>'[15]Annex 2'!K17</f>
        <v>3889986.78</v>
      </c>
      <c r="K18" s="270">
        <f>'[15]Annex 2'!L17</f>
        <v>3946363.4</v>
      </c>
      <c r="M18" s="275">
        <f>SUM(M12:M17)</f>
        <v>1</v>
      </c>
      <c r="N18" s="275">
        <f>SUM(N12:N17)</f>
        <v>0.99999999999999989</v>
      </c>
      <c r="O18" s="275">
        <f>SUM(O12:O17)</f>
        <v>0.99999999999999989</v>
      </c>
      <c r="P18" s="274">
        <f>SUM(P12:P17)</f>
        <v>1</v>
      </c>
      <c r="Q18" s="275">
        <f>SUM(Q12:Q17)</f>
        <v>1</v>
      </c>
    </row>
    <row r="19" spans="2:17" ht="15.75" thickTop="1">
      <c r="B19" s="1663"/>
      <c r="C19" s="1693">
        <f>SUM(C12:C17)</f>
        <v>2648863</v>
      </c>
      <c r="D19" s="1693">
        <f t="shared" ref="D19:K19" si="11">SUM(D12:D17)</f>
        <v>2851221</v>
      </c>
      <c r="E19" s="1693">
        <f t="shared" si="11"/>
        <v>2851221</v>
      </c>
      <c r="F19" s="1693">
        <f t="shared" si="11"/>
        <v>2916310</v>
      </c>
      <c r="G19" s="1693">
        <f>SUM(G12:G17)</f>
        <v>3777233.5399999996</v>
      </c>
      <c r="H19" s="1693">
        <f t="shared" si="11"/>
        <v>3777233.5399999996</v>
      </c>
      <c r="I19" s="1693">
        <f t="shared" si="11"/>
        <v>3833610.1599999997</v>
      </c>
      <c r="J19" s="1693">
        <f t="shared" si="11"/>
        <v>3889986.78</v>
      </c>
      <c r="K19" s="1693">
        <f t="shared" si="11"/>
        <v>3946363.4000000004</v>
      </c>
      <c r="M19" s="195"/>
      <c r="N19" s="195"/>
      <c r="O19" s="195"/>
    </row>
    <row r="20" spans="2:17">
      <c r="B20" s="1663"/>
      <c r="C20" s="146"/>
      <c r="D20" s="146"/>
      <c r="F20" s="272">
        <f t="shared" ref="F20:K20" si="12">F18/E18-1</f>
        <v>2.2828465418850419E-2</v>
      </c>
      <c r="G20" s="272">
        <f t="shared" si="12"/>
        <v>0.29520988509451995</v>
      </c>
      <c r="H20" s="272">
        <f t="shared" si="12"/>
        <v>0</v>
      </c>
      <c r="I20" s="272">
        <f t="shared" si="12"/>
        <v>1.4925373134328401E-2</v>
      </c>
      <c r="J20" s="272">
        <f t="shared" si="12"/>
        <v>1.4705882352941124E-2</v>
      </c>
      <c r="K20" s="272">
        <f t="shared" si="12"/>
        <v>1.449275362318847E-2</v>
      </c>
      <c r="M20" s="195"/>
      <c r="N20" s="195"/>
      <c r="O20" s="195"/>
    </row>
    <row r="21" spans="2:17">
      <c r="B21" s="1663" t="s">
        <v>374</v>
      </c>
      <c r="C21" s="146">
        <f>C13+C14</f>
        <v>118591</v>
      </c>
      <c r="D21" s="146">
        <f t="shared" ref="D21:J21" si="13">D13+D14</f>
        <v>127651</v>
      </c>
      <c r="E21" s="146">
        <f>E13+E14</f>
        <v>127651</v>
      </c>
      <c r="F21" s="146">
        <f>F13+F14</f>
        <v>172088</v>
      </c>
      <c r="G21" s="146">
        <f t="shared" si="13"/>
        <v>182554.29523727257</v>
      </c>
      <c r="H21" s="146">
        <f t="shared" si="13"/>
        <v>182554.29523727257</v>
      </c>
      <c r="I21" s="146">
        <f t="shared" si="13"/>
        <v>185278.98621096316</v>
      </c>
      <c r="J21" s="146">
        <f t="shared" si="13"/>
        <v>188003.67718465382</v>
      </c>
      <c r="K21" s="146">
        <f>K13+K14</f>
        <v>190728.36815834447</v>
      </c>
      <c r="M21" s="195"/>
      <c r="N21" s="195"/>
      <c r="O21" s="195"/>
    </row>
    <row r="22" spans="2:17">
      <c r="B22" s="1663"/>
      <c r="C22" s="146"/>
      <c r="D22" s="146"/>
      <c r="M22" s="195"/>
      <c r="N22" s="195"/>
      <c r="O22" s="195"/>
    </row>
    <row r="23" spans="2:17">
      <c r="B23" s="1663"/>
      <c r="I23" s="1588"/>
    </row>
    <row r="24" spans="2:17">
      <c r="B24" s="196" t="s">
        <v>488</v>
      </c>
      <c r="C24" s="197">
        <v>2018</v>
      </c>
      <c r="D24" s="197">
        <v>2019</v>
      </c>
      <c r="E24" s="197">
        <v>2020</v>
      </c>
      <c r="F24" s="1693"/>
      <c r="G24" s="1693"/>
      <c r="H24" s="1693"/>
      <c r="I24" s="1588"/>
      <c r="J24" s="1693"/>
      <c r="K24" s="1693"/>
    </row>
    <row r="25" spans="2:17">
      <c r="B25" s="79" t="s">
        <v>485</v>
      </c>
      <c r="C25" s="168">
        <v>157882.69</v>
      </c>
      <c r="D25" s="168">
        <v>164173.92000000001</v>
      </c>
      <c r="E25" s="1693">
        <v>166171.12</v>
      </c>
      <c r="F25" s="1693"/>
      <c r="G25" s="1693"/>
      <c r="H25" s="1693"/>
      <c r="I25" s="1588"/>
      <c r="J25" s="1693"/>
      <c r="K25" s="1693"/>
    </row>
    <row r="26" spans="2:17">
      <c r="B26" s="79" t="s">
        <v>12</v>
      </c>
      <c r="C26" s="168">
        <v>17744.990000000002</v>
      </c>
      <c r="D26" s="168">
        <v>18452.080000000002</v>
      </c>
      <c r="E26" s="1693">
        <v>18676.560000000001</v>
      </c>
      <c r="F26" s="1693"/>
      <c r="G26" s="1693"/>
      <c r="H26" s="1693"/>
      <c r="I26" s="1588"/>
      <c r="J26" s="1693"/>
      <c r="K26" s="1693"/>
    </row>
    <row r="27" spans="2:17">
      <c r="B27" s="79" t="s">
        <v>486</v>
      </c>
      <c r="C27" s="168">
        <v>16.34</v>
      </c>
      <c r="D27" s="168">
        <v>16.989999999999998</v>
      </c>
      <c r="E27" s="1693">
        <v>17.2</v>
      </c>
      <c r="F27" s="1693"/>
      <c r="G27" s="1693"/>
      <c r="H27" s="1693"/>
      <c r="I27" s="1588"/>
      <c r="J27" s="1693"/>
      <c r="K27" s="1693"/>
    </row>
    <row r="28" spans="2:17">
      <c r="B28" s="79" t="s">
        <v>20</v>
      </c>
      <c r="C28" s="168">
        <v>20965.759999999998</v>
      </c>
      <c r="D28" s="168">
        <v>21801.19</v>
      </c>
      <c r="E28" s="1693">
        <v>22066.400000000001</v>
      </c>
      <c r="F28" s="1693"/>
      <c r="G28" s="1693"/>
      <c r="H28" s="1693"/>
      <c r="I28" s="1588"/>
      <c r="J28" s="1693"/>
      <c r="K28" s="1693"/>
    </row>
    <row r="29" spans="2:17">
      <c r="B29" s="79" t="s">
        <v>362</v>
      </c>
      <c r="C29" s="168">
        <v>0</v>
      </c>
      <c r="D29" s="168">
        <v>0</v>
      </c>
      <c r="E29" s="1693">
        <v>0</v>
      </c>
      <c r="F29" s="1693"/>
      <c r="G29" s="1693"/>
      <c r="H29" s="1693"/>
      <c r="I29" s="1693"/>
      <c r="J29" s="1693"/>
      <c r="K29" s="1693"/>
    </row>
    <row r="30" spans="2:17">
      <c r="B30" s="79" t="s">
        <v>487</v>
      </c>
      <c r="C30" s="168">
        <v>2988.59</v>
      </c>
      <c r="D30" s="168">
        <v>3107.68</v>
      </c>
      <c r="E30" s="1693">
        <v>3145.49</v>
      </c>
      <c r="F30" s="1693"/>
      <c r="G30" s="1693"/>
      <c r="H30" s="1693"/>
      <c r="I30" s="1693"/>
      <c r="J30" s="1693"/>
      <c r="K30" s="1693"/>
    </row>
    <row r="31" spans="2:17" ht="15.75" thickBot="1">
      <c r="B31" s="266" t="s">
        <v>22</v>
      </c>
      <c r="C31" s="270">
        <f>SUM(C25:C30)</f>
        <v>199598.37</v>
      </c>
      <c r="D31" s="270">
        <f>SUM(D25:D30)</f>
        <v>207551.86</v>
      </c>
      <c r="E31" s="270">
        <f>SUM(E25:E30)</f>
        <v>210076.77</v>
      </c>
      <c r="F31" s="1693"/>
      <c r="G31" s="1693"/>
      <c r="H31" s="1693"/>
      <c r="I31" s="1693"/>
      <c r="J31" s="1693"/>
      <c r="K31" s="1693"/>
    </row>
    <row r="32" spans="2:17" s="1483" customFormat="1" ht="15.75" thickTop="1">
      <c r="B32" s="1699" t="s">
        <v>20</v>
      </c>
      <c r="C32" s="1700">
        <v>128</v>
      </c>
      <c r="D32" s="1700">
        <v>131</v>
      </c>
      <c r="E32" s="1700">
        <v>134</v>
      </c>
      <c r="F32" s="1695">
        <v>136.83971157566313</v>
      </c>
      <c r="G32" s="1695">
        <v>139.5765058071764</v>
      </c>
      <c r="H32" s="1695">
        <v>142.36803592331992</v>
      </c>
      <c r="I32" s="1695">
        <v>145.21539664178633</v>
      </c>
      <c r="J32" s="1695">
        <v>148.11970457462206</v>
      </c>
      <c r="K32" s="1695">
        <v>151.08209866611449</v>
      </c>
    </row>
    <row r="33" spans="2:16">
      <c r="B33" s="1663" t="s">
        <v>494</v>
      </c>
      <c r="C33" s="271">
        <f>C26+C27</f>
        <v>17761.330000000002</v>
      </c>
      <c r="D33" s="271">
        <f>D26+D27</f>
        <v>18469.070000000003</v>
      </c>
      <c r="E33" s="271">
        <f>E26+E27</f>
        <v>18693.760000000002</v>
      </c>
      <c r="F33" s="271"/>
      <c r="G33" s="271"/>
      <c r="H33" s="271"/>
      <c r="I33" s="271"/>
      <c r="J33" s="271"/>
      <c r="K33" s="271"/>
    </row>
    <row r="34" spans="2:16">
      <c r="B34" s="1663"/>
      <c r="M34" s="377" t="s">
        <v>514</v>
      </c>
    </row>
    <row r="35" spans="2:16">
      <c r="B35" s="196" t="s">
        <v>489</v>
      </c>
      <c r="C35" s="197">
        <v>2018</v>
      </c>
      <c r="D35" s="197">
        <v>2019</v>
      </c>
      <c r="E35" s="197">
        <v>2020</v>
      </c>
      <c r="F35" s="197">
        <f t="shared" ref="F35:K35" si="14">E35+1</f>
        <v>2021</v>
      </c>
      <c r="G35" s="197">
        <f t="shared" si="14"/>
        <v>2022</v>
      </c>
      <c r="H35" s="197">
        <f t="shared" si="14"/>
        <v>2023</v>
      </c>
      <c r="I35" s="197">
        <f t="shared" si="14"/>
        <v>2024</v>
      </c>
      <c r="J35" s="197">
        <f t="shared" si="14"/>
        <v>2025</v>
      </c>
      <c r="K35" s="198">
        <f t="shared" si="14"/>
        <v>2026</v>
      </c>
      <c r="M35" s="197">
        <v>2018</v>
      </c>
      <c r="N35" s="197">
        <v>2019</v>
      </c>
      <c r="O35" s="197">
        <v>2020</v>
      </c>
      <c r="P35" s="377" t="s">
        <v>148</v>
      </c>
    </row>
    <row r="36" spans="2:16">
      <c r="B36" s="79" t="s">
        <v>485</v>
      </c>
      <c r="C36" s="145">
        <v>19546</v>
      </c>
      <c r="D36" s="145">
        <v>20018</v>
      </c>
      <c r="E36" s="145">
        <v>20506</v>
      </c>
      <c r="F36" s="1693">
        <f>$F$42*P36</f>
        <v>20915.574917717255</v>
      </c>
      <c r="G36" s="1693">
        <f>$G$42*P36</f>
        <v>21333.8864160716</v>
      </c>
      <c r="H36" s="1693">
        <f>$H$42*P36</f>
        <v>21760.564144393033</v>
      </c>
      <c r="I36" s="1693">
        <f>$I$42*P36</f>
        <v>22195.775427280892</v>
      </c>
      <c r="J36" s="1693">
        <f>$J$42*P36</f>
        <v>22639.690935826511</v>
      </c>
      <c r="K36" s="284">
        <f>$K$42*P36</f>
        <v>23092.484754543042</v>
      </c>
      <c r="M36" s="274">
        <f t="shared" ref="M36:M41" si="15">C36/$C$42</f>
        <v>0.97598242372796729</v>
      </c>
      <c r="N36" s="274">
        <f t="shared" ref="N36:N41" si="16">D36/$D$42</f>
        <v>0.97596411681536732</v>
      </c>
      <c r="O36" s="274">
        <f t="shared" ref="O36:O41" si="17">E36/$E$42</f>
        <v>0.97601142313184197</v>
      </c>
      <c r="P36" s="275">
        <f t="shared" ref="P36:P41" si="18">AVERAGE(M36:O36)</f>
        <v>0.97598598789172542</v>
      </c>
    </row>
    <row r="37" spans="2:16">
      <c r="B37" s="79" t="s">
        <v>12</v>
      </c>
      <c r="C37" s="377">
        <v>202</v>
      </c>
      <c r="D37" s="377">
        <v>207</v>
      </c>
      <c r="E37" s="377">
        <v>212</v>
      </c>
      <c r="F37" s="1693">
        <f>$F$42*P37</f>
        <v>216.2233044897944</v>
      </c>
      <c r="G37" s="1693">
        <f>$G$42*P37</f>
        <v>220.54777057959029</v>
      </c>
      <c r="H37" s="1693">
        <f>$H$42*P37</f>
        <v>224.95872599118212</v>
      </c>
      <c r="I37" s="1693">
        <f>$I$42*P37</f>
        <v>229.45790051100573</v>
      </c>
      <c r="J37" s="1693">
        <f>$J$42*P37</f>
        <v>234.04705852122586</v>
      </c>
      <c r="K37" s="284">
        <f>$K$42*P37</f>
        <v>238.72799969165038</v>
      </c>
      <c r="M37" s="274">
        <f t="shared" si="15"/>
        <v>1.0086383382433714E-2</v>
      </c>
      <c r="N37" s="274">
        <f t="shared" si="16"/>
        <v>1.0092145677928916E-2</v>
      </c>
      <c r="O37" s="274">
        <f t="shared" si="17"/>
        <v>1.0090433127082342E-2</v>
      </c>
      <c r="P37" s="275">
        <f t="shared" si="18"/>
        <v>1.0089654062481657E-2</v>
      </c>
    </row>
    <row r="38" spans="2:16">
      <c r="B38" s="79" t="s">
        <v>486</v>
      </c>
      <c r="C38" s="377">
        <v>6</v>
      </c>
      <c r="D38" s="377">
        <v>6</v>
      </c>
      <c r="E38" s="377">
        <v>6</v>
      </c>
      <c r="F38" s="1693">
        <f>$F$42*P38</f>
        <v>6.2697607780469022</v>
      </c>
      <c r="G38" s="1693">
        <f>$G$42*P38</f>
        <v>6.3951559936078404</v>
      </c>
      <c r="H38" s="1693">
        <f>$H$42*P38</f>
        <v>6.5230591134799969</v>
      </c>
      <c r="I38" s="1693">
        <f>$I$42*P38</f>
        <v>6.6535202957495967</v>
      </c>
      <c r="J38" s="1693">
        <f>$J$42*P38</f>
        <v>6.786590701664589</v>
      </c>
      <c r="K38" s="284">
        <f>$K$42*P38</f>
        <v>6.9223225156978812</v>
      </c>
      <c r="M38" s="274">
        <f t="shared" si="15"/>
        <v>2.9959554601288263E-4</v>
      </c>
      <c r="N38" s="274">
        <f t="shared" si="16"/>
        <v>2.9252596167909901E-4</v>
      </c>
      <c r="O38" s="274">
        <f t="shared" si="17"/>
        <v>2.8557829604950022E-4</v>
      </c>
      <c r="P38" s="275">
        <f t="shared" si="18"/>
        <v>2.9256660124716064E-4</v>
      </c>
    </row>
    <row r="39" spans="2:16" s="1483" customFormat="1">
      <c r="B39" s="1694" t="s">
        <v>20</v>
      </c>
      <c r="C39" s="1701">
        <v>128</v>
      </c>
      <c r="D39" s="1701">
        <v>131</v>
      </c>
      <c r="E39" s="1701">
        <v>134</v>
      </c>
      <c r="F39" s="1701">
        <v>136.83971157566313</v>
      </c>
      <c r="G39" s="1701">
        <v>139.5765058071764</v>
      </c>
      <c r="H39" s="1701">
        <v>142.36803592331992</v>
      </c>
      <c r="I39" s="1701">
        <v>145.21539664178633</v>
      </c>
      <c r="J39" s="1701">
        <v>148.11970457462206</v>
      </c>
      <c r="K39" s="1702">
        <f>0.8*K32</f>
        <v>120.8656789328916</v>
      </c>
      <c r="M39" s="1696">
        <f t="shared" si="15"/>
        <v>6.3913716482748286E-3</v>
      </c>
      <c r="N39" s="1696">
        <f t="shared" si="16"/>
        <v>6.3868168299936624E-3</v>
      </c>
      <c r="O39" s="1696">
        <f t="shared" si="17"/>
        <v>6.3779152784388385E-3</v>
      </c>
      <c r="P39" s="1697">
        <f t="shared" si="18"/>
        <v>6.3853679189024432E-3</v>
      </c>
    </row>
    <row r="40" spans="2:16" s="1483" customFormat="1">
      <c r="B40" s="1694" t="s">
        <v>362</v>
      </c>
      <c r="C40" s="1701"/>
      <c r="D40" s="1701"/>
      <c r="E40" s="1701"/>
      <c r="F40" s="1701"/>
      <c r="G40" s="1701"/>
      <c r="H40" s="1701"/>
      <c r="I40" s="1701"/>
      <c r="J40" s="1701"/>
      <c r="K40" s="1702">
        <f>K32*0.2</f>
        <v>30.216419733222899</v>
      </c>
      <c r="M40" s="1696">
        <f t="shared" si="15"/>
        <v>0</v>
      </c>
      <c r="N40" s="1696">
        <f t="shared" si="16"/>
        <v>0</v>
      </c>
      <c r="O40" s="1696">
        <f t="shared" si="17"/>
        <v>0</v>
      </c>
      <c r="P40" s="1697">
        <f t="shared" si="18"/>
        <v>0</v>
      </c>
    </row>
    <row r="41" spans="2:16">
      <c r="B41" s="80" t="s">
        <v>487</v>
      </c>
      <c r="C41" s="83">
        <v>145</v>
      </c>
      <c r="D41" s="83">
        <v>149</v>
      </c>
      <c r="E41" s="83">
        <v>152</v>
      </c>
      <c r="F41" s="1541">
        <f>$F$42*P41</f>
        <v>155.2923054392391</v>
      </c>
      <c r="G41" s="1541">
        <f>$G$42*P41</f>
        <v>158.39815154802386</v>
      </c>
      <c r="H41" s="1541">
        <f>$H$42*P41</f>
        <v>161.56611457898435</v>
      </c>
      <c r="I41" s="1541">
        <f>$I$42*P41</f>
        <v>164.79743687056404</v>
      </c>
      <c r="J41" s="1541">
        <f>$J$42*P41</f>
        <v>168.09338560797534</v>
      </c>
      <c r="K41" s="1542">
        <f>$K$42*P41</f>
        <v>171.45525332013483</v>
      </c>
      <c r="M41" s="274">
        <f t="shared" si="15"/>
        <v>7.2402256953113297E-3</v>
      </c>
      <c r="N41" s="274">
        <f t="shared" si="16"/>
        <v>7.2643947150309593E-3</v>
      </c>
      <c r="O41" s="274">
        <f t="shared" si="17"/>
        <v>7.234650166587339E-3</v>
      </c>
      <c r="P41" s="275">
        <f t="shared" si="18"/>
        <v>7.2464235256432087E-3</v>
      </c>
    </row>
    <row r="42" spans="2:16" ht="15.75" thickBot="1">
      <c r="B42" s="1538" t="s">
        <v>22</v>
      </c>
      <c r="C42" s="1539">
        <f>SUM(C36:C41)</f>
        <v>20027</v>
      </c>
      <c r="D42" s="1539">
        <f>SUM(D36:D41)</f>
        <v>20511</v>
      </c>
      <c r="E42" s="1539">
        <f>SUM(E36:E41)</f>
        <v>21010</v>
      </c>
      <c r="F42" s="1540">
        <f t="shared" ref="F42:K42" si="19">E42*(1+$C$46)</f>
        <v>21430.2</v>
      </c>
      <c r="G42" s="1540">
        <f t="shared" si="19"/>
        <v>21858.804</v>
      </c>
      <c r="H42" s="1540">
        <f t="shared" si="19"/>
        <v>22295.980080000001</v>
      </c>
      <c r="I42" s="1540">
        <f t="shared" si="19"/>
        <v>22741.8996816</v>
      </c>
      <c r="J42" s="1540">
        <f t="shared" si="19"/>
        <v>23196.737675232001</v>
      </c>
      <c r="K42" s="1540">
        <f t="shared" si="19"/>
        <v>23660.672428736641</v>
      </c>
      <c r="M42" s="275">
        <f>SUM(M36:M41)</f>
        <v>1</v>
      </c>
      <c r="N42" s="275">
        <f>SUM(N36:N41)</f>
        <v>0.99999999999999989</v>
      </c>
      <c r="O42" s="275">
        <f>SUM(O36:O41)</f>
        <v>0.99999999999999989</v>
      </c>
    </row>
    <row r="43" spans="2:16" ht="15.75" thickTop="1">
      <c r="B43" s="1663"/>
      <c r="C43" s="146"/>
      <c r="D43" s="146"/>
      <c r="E43" s="146"/>
      <c r="F43" s="146"/>
      <c r="G43" s="146"/>
      <c r="H43" s="146"/>
      <c r="I43" s="146"/>
      <c r="J43" s="146"/>
      <c r="K43" s="271"/>
      <c r="M43" s="275"/>
      <c r="N43" s="275"/>
      <c r="O43" s="275"/>
    </row>
    <row r="44" spans="2:16">
      <c r="B44" s="1663" t="s">
        <v>517</v>
      </c>
      <c r="C44" s="146">
        <f>C37+C38</f>
        <v>208</v>
      </c>
      <c r="D44" s="146">
        <f t="shared" ref="D44:K44" si="20">D37+D38</f>
        <v>213</v>
      </c>
      <c r="E44" s="146">
        <f t="shared" si="20"/>
        <v>218</v>
      </c>
      <c r="F44" s="146">
        <f t="shared" si="20"/>
        <v>222.4930652678413</v>
      </c>
      <c r="G44" s="146">
        <f t="shared" si="20"/>
        <v>226.94292657319812</v>
      </c>
      <c r="H44" s="146">
        <f t="shared" si="20"/>
        <v>231.48178510466212</v>
      </c>
      <c r="I44" s="146">
        <f t="shared" si="20"/>
        <v>236.11142080675532</v>
      </c>
      <c r="J44" s="146">
        <f t="shared" si="20"/>
        <v>240.83364922289044</v>
      </c>
      <c r="K44" s="146">
        <f t="shared" si="20"/>
        <v>245.65032220734827</v>
      </c>
      <c r="M44" s="275"/>
      <c r="N44" s="275"/>
      <c r="O44" s="275"/>
    </row>
    <row r="45" spans="2:16">
      <c r="B45" s="1663" t="s">
        <v>512</v>
      </c>
      <c r="C45" s="281">
        <f>D42/C42-1</f>
        <v>2.4167374045039214E-2</v>
      </c>
      <c r="D45" s="281">
        <f>E42/D42-1</f>
        <v>2.4328409146311625E-2</v>
      </c>
      <c r="E45" s="146"/>
    </row>
    <row r="46" spans="2:16">
      <c r="B46" s="1663" t="s">
        <v>513</v>
      </c>
      <c r="C46" s="282">
        <v>0.02</v>
      </c>
    </row>
    <row r="47" spans="2:16">
      <c r="B47" s="196" t="s">
        <v>490</v>
      </c>
      <c r="C47" s="197">
        <v>2018</v>
      </c>
      <c r="D47" s="197">
        <v>2019</v>
      </c>
      <c r="E47" s="197">
        <v>2020</v>
      </c>
      <c r="F47" s="197">
        <f t="shared" ref="F47:K47" si="21">E47+1</f>
        <v>2021</v>
      </c>
      <c r="G47" s="197">
        <f t="shared" si="21"/>
        <v>2022</v>
      </c>
      <c r="H47" s="197">
        <f t="shared" si="21"/>
        <v>2023</v>
      </c>
      <c r="I47" s="197">
        <f t="shared" si="21"/>
        <v>2024</v>
      </c>
      <c r="J47" s="197">
        <f t="shared" si="21"/>
        <v>2025</v>
      </c>
      <c r="K47" s="198">
        <f t="shared" si="21"/>
        <v>2026</v>
      </c>
      <c r="P47" s="377" t="s">
        <v>515</v>
      </c>
    </row>
    <row r="48" spans="2:16">
      <c r="B48" s="79" t="s">
        <v>485</v>
      </c>
      <c r="C48" s="267">
        <v>1840</v>
      </c>
      <c r="D48" s="145">
        <v>2088</v>
      </c>
      <c r="E48" s="145">
        <v>2095</v>
      </c>
      <c r="F48" s="1693">
        <f t="shared" ref="F48:F53" si="22">$F$54*P48</f>
        <v>2133.7247982170279</v>
      </c>
      <c r="G48" s="1693">
        <f t="shared" ref="G48:G53" si="23">$G$54*O48</f>
        <v>2179.6380000000004</v>
      </c>
      <c r="H48" s="1693">
        <f t="shared" ref="H48:H53" si="24">$H$54*O48</f>
        <v>2223.2307600000004</v>
      </c>
      <c r="I48" s="1693">
        <f t="shared" ref="I48:I53" si="25">$I$54*O48</f>
        <v>2267.6953752000004</v>
      </c>
      <c r="J48" s="1693">
        <f t="shared" ref="J48:J53" si="26">$J$54*P48</f>
        <v>2309.6123421796224</v>
      </c>
      <c r="K48" s="283">
        <f t="shared" ref="K48:K53" si="27">$K$54*P48</f>
        <v>2355.8045890232147</v>
      </c>
      <c r="M48" s="194">
        <f t="shared" ref="M48:M53" si="28">C48/$C$54</f>
        <v>0.95336787564766834</v>
      </c>
      <c r="N48" s="194">
        <f t="shared" ref="N48:N53" si="29">D48/$D$54</f>
        <v>0.95648190563444802</v>
      </c>
      <c r="O48" s="194">
        <f t="shared" ref="O48:O53" si="30">E48/$E$54</f>
        <v>0.95705801735952489</v>
      </c>
      <c r="P48" s="195">
        <f t="shared" ref="P48:P53" si="31">AVERAGE(M48:O48)</f>
        <v>0.95563593288054705</v>
      </c>
    </row>
    <row r="49" spans="2:16">
      <c r="B49" s="79" t="s">
        <v>12</v>
      </c>
      <c r="C49" s="377">
        <v>72</v>
      </c>
      <c r="D49" s="377">
        <v>76</v>
      </c>
      <c r="E49" s="377">
        <v>75</v>
      </c>
      <c r="F49" s="1693">
        <f t="shared" si="22"/>
        <v>79.176161426377647</v>
      </c>
      <c r="G49" s="1693">
        <f t="shared" si="23"/>
        <v>78.030000000000015</v>
      </c>
      <c r="H49" s="1693">
        <f t="shared" si="24"/>
        <v>79.590600000000023</v>
      </c>
      <c r="I49" s="1693">
        <f t="shared" si="25"/>
        <v>81.182412000000014</v>
      </c>
      <c r="J49" s="1693">
        <f t="shared" si="26"/>
        <v>85.702823433262651</v>
      </c>
      <c r="K49" s="283">
        <f t="shared" si="27"/>
        <v>87.416879901927899</v>
      </c>
      <c r="M49" s="194">
        <f t="shared" si="28"/>
        <v>3.7305699481865282E-2</v>
      </c>
      <c r="N49" s="194">
        <f t="shared" si="29"/>
        <v>3.4814475492441592E-2</v>
      </c>
      <c r="O49" s="194">
        <f t="shared" si="30"/>
        <v>3.4262220191868434E-2</v>
      </c>
      <c r="P49" s="195">
        <f t="shared" si="31"/>
        <v>3.5460798388725102E-2</v>
      </c>
    </row>
    <row r="50" spans="2:16">
      <c r="B50" s="79" t="s">
        <v>486</v>
      </c>
      <c r="C50" s="377">
        <v>0</v>
      </c>
      <c r="D50" s="377">
        <v>0</v>
      </c>
      <c r="E50" s="377">
        <v>0</v>
      </c>
      <c r="F50" s="1693">
        <f t="shared" si="22"/>
        <v>0</v>
      </c>
      <c r="G50" s="1693">
        <f t="shared" si="23"/>
        <v>0</v>
      </c>
      <c r="H50" s="1693">
        <f t="shared" si="24"/>
        <v>0</v>
      </c>
      <c r="I50" s="1693">
        <f t="shared" si="25"/>
        <v>0</v>
      </c>
      <c r="J50" s="1693">
        <f t="shared" si="26"/>
        <v>0</v>
      </c>
      <c r="K50" s="283">
        <f t="shared" si="27"/>
        <v>0</v>
      </c>
      <c r="M50" s="194">
        <f t="shared" si="28"/>
        <v>0</v>
      </c>
      <c r="N50" s="194">
        <f t="shared" si="29"/>
        <v>0</v>
      </c>
      <c r="O50" s="194">
        <f t="shared" si="30"/>
        <v>0</v>
      </c>
      <c r="P50" s="195">
        <f t="shared" si="31"/>
        <v>0</v>
      </c>
    </row>
    <row r="51" spans="2:16">
      <c r="B51" s="79" t="s">
        <v>20</v>
      </c>
      <c r="C51" s="377">
        <v>0</v>
      </c>
      <c r="D51" s="377">
        <v>0</v>
      </c>
      <c r="E51" s="377">
        <v>0</v>
      </c>
      <c r="F51" s="1693">
        <f t="shared" si="22"/>
        <v>0</v>
      </c>
      <c r="G51" s="1693">
        <f t="shared" si="23"/>
        <v>0</v>
      </c>
      <c r="H51" s="1693">
        <f t="shared" si="24"/>
        <v>0</v>
      </c>
      <c r="I51" s="1693">
        <f t="shared" si="25"/>
        <v>0</v>
      </c>
      <c r="J51" s="1693">
        <f t="shared" si="26"/>
        <v>0</v>
      </c>
      <c r="K51" s="283">
        <f t="shared" si="27"/>
        <v>0</v>
      </c>
      <c r="M51" s="194">
        <f t="shared" si="28"/>
        <v>0</v>
      </c>
      <c r="N51" s="194">
        <f t="shared" si="29"/>
        <v>0</v>
      </c>
      <c r="O51" s="194">
        <f t="shared" si="30"/>
        <v>0</v>
      </c>
      <c r="P51" s="195">
        <f t="shared" si="31"/>
        <v>0</v>
      </c>
    </row>
    <row r="52" spans="2:16">
      <c r="B52" s="79" t="s">
        <v>362</v>
      </c>
      <c r="C52" s="377">
        <v>0</v>
      </c>
      <c r="D52" s="377">
        <v>0</v>
      </c>
      <c r="E52" s="377">
        <v>0</v>
      </c>
      <c r="F52" s="1693">
        <f t="shared" si="22"/>
        <v>0</v>
      </c>
      <c r="G52" s="1693">
        <f t="shared" si="23"/>
        <v>0</v>
      </c>
      <c r="H52" s="1693">
        <f t="shared" si="24"/>
        <v>0</v>
      </c>
      <c r="I52" s="1693">
        <f t="shared" si="25"/>
        <v>0</v>
      </c>
      <c r="J52" s="1693">
        <f t="shared" si="26"/>
        <v>0</v>
      </c>
      <c r="K52" s="283">
        <f t="shared" si="27"/>
        <v>0</v>
      </c>
      <c r="M52" s="194">
        <f t="shared" si="28"/>
        <v>0</v>
      </c>
      <c r="N52" s="194">
        <f t="shared" si="29"/>
        <v>0</v>
      </c>
      <c r="O52" s="194">
        <f t="shared" si="30"/>
        <v>0</v>
      </c>
      <c r="P52" s="195">
        <f t="shared" si="31"/>
        <v>0</v>
      </c>
    </row>
    <row r="53" spans="2:16">
      <c r="B53" s="79" t="s">
        <v>487</v>
      </c>
      <c r="C53" s="377">
        <v>18</v>
      </c>
      <c r="D53" s="377">
        <v>19</v>
      </c>
      <c r="E53" s="377">
        <v>19</v>
      </c>
      <c r="F53" s="1693">
        <f t="shared" si="22"/>
        <v>19.879040356594409</v>
      </c>
      <c r="G53" s="1693">
        <f t="shared" si="23"/>
        <v>19.767600000000002</v>
      </c>
      <c r="H53" s="1693">
        <f t="shared" si="24"/>
        <v>20.162952000000004</v>
      </c>
      <c r="I53" s="1693">
        <f t="shared" si="25"/>
        <v>20.566211040000002</v>
      </c>
      <c r="J53" s="1693">
        <f t="shared" si="26"/>
        <v>21.517712591915657</v>
      </c>
      <c r="K53" s="283">
        <f t="shared" si="27"/>
        <v>21.948066843753974</v>
      </c>
      <c r="M53" s="194">
        <f t="shared" si="28"/>
        <v>9.3264248704663204E-3</v>
      </c>
      <c r="N53" s="194">
        <f t="shared" si="29"/>
        <v>8.703618873110398E-3</v>
      </c>
      <c r="O53" s="194">
        <f t="shared" si="30"/>
        <v>8.6797624486066698E-3</v>
      </c>
      <c r="P53" s="195">
        <f t="shared" si="31"/>
        <v>8.9032687307277949E-3</v>
      </c>
    </row>
    <row r="54" spans="2:16" ht="15.75" thickBot="1">
      <c r="B54" s="266" t="s">
        <v>22</v>
      </c>
      <c r="C54" s="285">
        <f>SUM(C48:C53)</f>
        <v>1930</v>
      </c>
      <c r="D54" s="285">
        <f>SUM(D48:D53)</f>
        <v>2183</v>
      </c>
      <c r="E54" s="285">
        <f>SUM(E48:E53)</f>
        <v>2189</v>
      </c>
      <c r="F54" s="286">
        <f t="shared" ref="F54:K54" si="32">E54*(1+$C$56)</f>
        <v>2232.7800000000002</v>
      </c>
      <c r="G54" s="286">
        <f t="shared" si="32"/>
        <v>2277.4356000000002</v>
      </c>
      <c r="H54" s="286">
        <f t="shared" si="32"/>
        <v>2322.9843120000005</v>
      </c>
      <c r="I54" s="286">
        <f t="shared" si="32"/>
        <v>2369.4439982400004</v>
      </c>
      <c r="J54" s="286">
        <f t="shared" si="32"/>
        <v>2416.8328782048006</v>
      </c>
      <c r="K54" s="286">
        <f t="shared" si="32"/>
        <v>2465.1695357688968</v>
      </c>
      <c r="M54" s="194">
        <f>SUM(M48:M53)</f>
        <v>0.99999999999999989</v>
      </c>
      <c r="N54" s="194">
        <f>SUM(N48:N53)</f>
        <v>1</v>
      </c>
      <c r="O54" s="194">
        <f>SUM(O48:O53)</f>
        <v>1</v>
      </c>
      <c r="P54" s="194">
        <f>SUM(P48:P53)</f>
        <v>0.99999999999999989</v>
      </c>
    </row>
    <row r="55" spans="2:16" ht="15.75" thickTop="1">
      <c r="B55" s="1663" t="s">
        <v>512</v>
      </c>
      <c r="C55" s="272">
        <f>D54/C54-1</f>
        <v>0.13108808290155438</v>
      </c>
      <c r="D55" s="272">
        <f>E54/D54-1</f>
        <v>2.7485112230873909E-3</v>
      </c>
    </row>
    <row r="56" spans="2:16">
      <c r="B56" s="1663" t="s">
        <v>516</v>
      </c>
      <c r="C56" s="377">
        <v>0.02</v>
      </c>
    </row>
    <row r="57" spans="2:16">
      <c r="B57" s="377" t="s">
        <v>475</v>
      </c>
      <c r="C57" s="377">
        <v>185</v>
      </c>
      <c r="D57" s="377">
        <v>180</v>
      </c>
      <c r="E57" s="377">
        <v>175</v>
      </c>
      <c r="F57" s="377">
        <v>172</v>
      </c>
      <c r="G57" s="377">
        <v>172</v>
      </c>
      <c r="H57" s="377">
        <v>172</v>
      </c>
      <c r="I57" s="377">
        <v>172</v>
      </c>
      <c r="J57" s="377">
        <v>172</v>
      </c>
      <c r="K57" s="377">
        <v>172</v>
      </c>
    </row>
    <row r="58" spans="2:16">
      <c r="D58" s="1663"/>
    </row>
    <row r="59" spans="2:16">
      <c r="B59" s="1663"/>
      <c r="C59" s="1663"/>
      <c r="D59" s="1663"/>
      <c r="E59" s="1663"/>
      <c r="F59" s="1663"/>
      <c r="G59" s="1663"/>
    </row>
    <row r="60" spans="2:16">
      <c r="B60" s="2006"/>
      <c r="C60" s="2006"/>
      <c r="D60" s="2006"/>
      <c r="E60" s="2006"/>
      <c r="F60" s="2006"/>
      <c r="G60" s="2006"/>
      <c r="H60" s="2006"/>
    </row>
    <row r="61" spans="2:16">
      <c r="B61" s="2006"/>
      <c r="C61" s="2006"/>
      <c r="D61" s="2006"/>
      <c r="E61" s="2006"/>
      <c r="F61" s="2006"/>
      <c r="G61" s="2006"/>
      <c r="H61" s="2006"/>
    </row>
    <row r="62" spans="2:16">
      <c r="B62" s="2006"/>
      <c r="C62" s="2006"/>
      <c r="D62" s="2006"/>
      <c r="E62" s="2006"/>
      <c r="F62" s="2006"/>
      <c r="G62" s="2006"/>
      <c r="H62" s="2006"/>
    </row>
    <row r="63" spans="2:16">
      <c r="C63" s="145"/>
      <c r="D63" s="145"/>
      <c r="E63" s="145"/>
      <c r="F63" s="145"/>
      <c r="G63" s="145"/>
      <c r="H63" s="146"/>
    </row>
    <row r="64" spans="2:16">
      <c r="C64" s="145"/>
      <c r="D64" s="145"/>
      <c r="E64" s="145"/>
      <c r="F64" s="145"/>
      <c r="G64" s="145"/>
      <c r="H64" s="146"/>
    </row>
    <row r="65" spans="2:8">
      <c r="C65" s="145"/>
      <c r="D65" s="145"/>
      <c r="E65" s="145"/>
      <c r="F65" s="145"/>
      <c r="G65" s="145"/>
      <c r="H65" s="146"/>
    </row>
    <row r="66" spans="2:8">
      <c r="C66" s="145"/>
      <c r="D66" s="145"/>
      <c r="E66" s="145"/>
      <c r="F66" s="145"/>
      <c r="G66" s="145"/>
      <c r="H66" s="146"/>
    </row>
    <row r="67" spans="2:8">
      <c r="C67" s="145"/>
      <c r="D67" s="145"/>
      <c r="E67" s="145"/>
      <c r="F67" s="145"/>
      <c r="G67" s="145"/>
      <c r="H67" s="146"/>
    </row>
    <row r="68" spans="2:8">
      <c r="B68" s="1663"/>
      <c r="C68" s="146"/>
      <c r="D68" s="146"/>
      <c r="E68" s="146"/>
      <c r="F68" s="146"/>
      <c r="G68" s="146"/>
      <c r="H68" s="146"/>
    </row>
    <row r="69" spans="2:8">
      <c r="B69" s="1663"/>
    </row>
    <row r="70" spans="2:8">
      <c r="C70" s="145"/>
      <c r="D70" s="145"/>
      <c r="E70" s="145"/>
      <c r="F70" s="145"/>
      <c r="G70" s="145"/>
    </row>
    <row r="71" spans="2:8">
      <c r="C71" s="145"/>
      <c r="D71" s="145"/>
      <c r="E71" s="145"/>
      <c r="F71" s="145"/>
      <c r="G71" s="145"/>
    </row>
    <row r="72" spans="2:8">
      <c r="C72" s="145"/>
      <c r="D72" s="145"/>
      <c r="E72" s="145"/>
      <c r="F72" s="145"/>
      <c r="G72" s="145"/>
    </row>
    <row r="73" spans="2:8">
      <c r="C73" s="145"/>
      <c r="D73" s="145"/>
      <c r="E73" s="145"/>
      <c r="F73" s="145"/>
      <c r="G73" s="145"/>
    </row>
    <row r="74" spans="2:8">
      <c r="C74" s="145"/>
      <c r="D74" s="145"/>
      <c r="E74" s="145"/>
      <c r="F74" s="145"/>
      <c r="G74" s="145"/>
    </row>
    <row r="75" spans="2:8">
      <c r="C75" s="147"/>
      <c r="D75" s="147"/>
      <c r="E75" s="147"/>
      <c r="F75" s="147"/>
      <c r="G75" s="147"/>
    </row>
  </sheetData>
  <mergeCells count="2">
    <mergeCell ref="B60:H62"/>
    <mergeCell ref="M10:P10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R108"/>
  <sheetViews>
    <sheetView zoomScale="110" zoomScaleNormal="110" workbookViewId="0">
      <pane xSplit="1" ySplit="2" topLeftCell="B60" activePane="bottomRight" state="frozen"/>
      <selection pane="topRight" activeCell="B1" sqref="B1"/>
      <selection pane="bottomLeft" activeCell="A3" sqref="A3"/>
      <selection pane="bottomRight" activeCell="E60" sqref="E60"/>
    </sheetView>
  </sheetViews>
  <sheetFormatPr defaultRowHeight="15"/>
  <cols>
    <col min="1" max="1" width="39.140625" bestFit="1" customWidth="1"/>
    <col min="2" max="2" width="17.7109375" customWidth="1"/>
    <col min="3" max="3" width="15" customWidth="1"/>
    <col min="4" max="4" width="16.28515625" customWidth="1"/>
    <col min="5" max="5" width="17.140625" style="366" customWidth="1"/>
    <col min="6" max="8" width="17.5703125" bestFit="1" customWidth="1"/>
    <col min="9" max="9" width="18.42578125" customWidth="1"/>
    <col min="10" max="10" width="19" customWidth="1"/>
    <col min="18" max="18" width="14.85546875" bestFit="1" customWidth="1"/>
  </cols>
  <sheetData>
    <row r="2" spans="1:18">
      <c r="B2" s="144" t="s">
        <v>347</v>
      </c>
      <c r="C2" s="144" t="s">
        <v>348</v>
      </c>
      <c r="D2" s="144" t="s">
        <v>350</v>
      </c>
      <c r="E2" s="369" t="s">
        <v>377</v>
      </c>
      <c r="F2" s="144" t="s">
        <v>91</v>
      </c>
      <c r="G2" s="144" t="s">
        <v>92</v>
      </c>
      <c r="H2" s="144" t="s">
        <v>93</v>
      </c>
      <c r="I2" s="144" t="s">
        <v>94</v>
      </c>
      <c r="J2" s="144" t="s">
        <v>95</v>
      </c>
    </row>
    <row r="3" spans="1:18">
      <c r="A3" s="144" t="s">
        <v>364</v>
      </c>
    </row>
    <row r="4" spans="1:18">
      <c r="A4" t="s">
        <v>461</v>
      </c>
      <c r="B4" s="145">
        <v>160796143</v>
      </c>
      <c r="C4" s="145">
        <v>193061177</v>
      </c>
      <c r="D4" s="145"/>
      <c r="E4" s="374">
        <v>191005866.36000001</v>
      </c>
    </row>
    <row r="5" spans="1:18">
      <c r="A5" t="s">
        <v>462</v>
      </c>
      <c r="B5" s="145">
        <v>39627214</v>
      </c>
      <c r="C5" s="145">
        <v>34762674</v>
      </c>
      <c r="D5" s="145"/>
      <c r="E5" s="366">
        <v>44585802.850000001</v>
      </c>
    </row>
    <row r="6" spans="1:18">
      <c r="A6" t="s">
        <v>365</v>
      </c>
      <c r="B6" s="145">
        <v>11504328</v>
      </c>
      <c r="C6" s="145">
        <v>11620950</v>
      </c>
      <c r="D6" s="145"/>
      <c r="E6" s="366">
        <v>12493299.08</v>
      </c>
    </row>
    <row r="7" spans="1:18">
      <c r="A7" t="s">
        <v>525</v>
      </c>
      <c r="B7" s="145">
        <f>B4+B5+B6</f>
        <v>211927685</v>
      </c>
      <c r="C7" s="145">
        <f>C4+C5+C6</f>
        <v>239444801</v>
      </c>
      <c r="D7" s="145">
        <v>223269397</v>
      </c>
      <c r="E7" s="1677">
        <f>SUM(E4:E6)</f>
        <v>248084968.29000002</v>
      </c>
      <c r="F7" s="240"/>
    </row>
    <row r="8" spans="1:18">
      <c r="A8" t="s">
        <v>366</v>
      </c>
      <c r="B8" s="145">
        <v>2950500</v>
      </c>
      <c r="C8" s="145">
        <v>4827320</v>
      </c>
      <c r="D8" s="145">
        <v>366154</v>
      </c>
      <c r="E8" s="370">
        <f>1286200+1095850+1068328</f>
        <v>3450378</v>
      </c>
      <c r="F8" s="152">
        <f>E8*1.02</f>
        <v>3519385.56</v>
      </c>
      <c r="G8" s="152">
        <f>F8*1.02</f>
        <v>3589773.2712000003</v>
      </c>
      <c r="H8" s="152">
        <f>G8*1.02</f>
        <v>3661568.7366240006</v>
      </c>
      <c r="I8" s="152">
        <f>H8*1.02</f>
        <v>3734800.1113564805</v>
      </c>
      <c r="J8" s="152">
        <f>I8*1.02</f>
        <v>3809496.1135836104</v>
      </c>
    </row>
    <row r="9" spans="1:18" ht="15.75" thickBot="1">
      <c r="A9" s="256" t="s">
        <v>22</v>
      </c>
      <c r="B9" s="257">
        <f>SUM(B7:B8)</f>
        <v>214878185</v>
      </c>
      <c r="C9" s="257">
        <f>SUM(C7:C8)</f>
        <v>244272121</v>
      </c>
      <c r="D9" s="257">
        <f>SUM(D7:D8)</f>
        <v>223635551</v>
      </c>
      <c r="E9" s="371">
        <f>SUM(E7:E8)</f>
        <v>251535346.29000002</v>
      </c>
      <c r="F9" s="258"/>
      <c r="G9" s="258"/>
      <c r="H9" s="258"/>
      <c r="I9" s="258"/>
      <c r="J9" s="258"/>
    </row>
    <row r="10" spans="1:18" ht="15.75" thickTop="1">
      <c r="A10" s="62"/>
      <c r="B10" s="268">
        <f>B4+B5</f>
        <v>200423357</v>
      </c>
      <c r="C10" s="268">
        <f>C4+C5</f>
        <v>227823851</v>
      </c>
      <c r="D10" s="268">
        <f>C10</f>
        <v>227823851</v>
      </c>
      <c r="E10" s="372"/>
      <c r="F10" s="59"/>
      <c r="G10" s="59"/>
      <c r="H10" s="59"/>
      <c r="I10" s="59"/>
      <c r="J10" s="59"/>
    </row>
    <row r="11" spans="1:18">
      <c r="A11" s="144"/>
      <c r="B11" s="146"/>
      <c r="C11" s="146"/>
      <c r="D11" s="146"/>
    </row>
    <row r="12" spans="1:18">
      <c r="A12" s="149" t="s">
        <v>463</v>
      </c>
      <c r="B12" s="146">
        <v>37052568</v>
      </c>
      <c r="C12" s="146">
        <v>38243277</v>
      </c>
      <c r="D12" s="146">
        <v>33980708</v>
      </c>
      <c r="E12" s="1676">
        <v>26905798</v>
      </c>
    </row>
    <row r="13" spans="1:18">
      <c r="A13" s="144"/>
      <c r="B13" s="146"/>
      <c r="C13" s="146"/>
      <c r="D13" s="146"/>
    </row>
    <row r="14" spans="1:18">
      <c r="A14" s="144" t="s">
        <v>50</v>
      </c>
      <c r="B14" s="144"/>
      <c r="C14" s="144"/>
    </row>
    <row r="15" spans="1:18">
      <c r="A15" s="149" t="s">
        <v>424</v>
      </c>
      <c r="B15" s="145">
        <v>64095972</v>
      </c>
      <c r="C15" s="145">
        <v>76369400</v>
      </c>
      <c r="D15" s="145">
        <v>76805950</v>
      </c>
      <c r="E15" s="370">
        <v>84154000</v>
      </c>
      <c r="F15" s="152"/>
      <c r="G15" s="152"/>
      <c r="H15" s="152"/>
      <c r="I15" s="152"/>
      <c r="J15" s="152"/>
      <c r="R15" s="152"/>
    </row>
    <row r="16" spans="1:18">
      <c r="A16" s="149" t="s">
        <v>425</v>
      </c>
      <c r="B16" s="145">
        <v>1604700</v>
      </c>
      <c r="C16" s="145">
        <v>7751707</v>
      </c>
      <c r="D16" s="145"/>
      <c r="E16" s="370">
        <v>9370600</v>
      </c>
      <c r="F16" s="152"/>
      <c r="G16" s="152"/>
      <c r="H16" s="152"/>
      <c r="I16" s="152"/>
      <c r="J16" s="152"/>
    </row>
    <row r="17" spans="1:10">
      <c r="A17" s="149" t="s">
        <v>426</v>
      </c>
      <c r="B17" s="145">
        <v>2308081</v>
      </c>
      <c r="C17" s="145">
        <v>1763933</v>
      </c>
      <c r="D17" s="145">
        <v>2041900</v>
      </c>
      <c r="E17" s="1680">
        <v>1579270</v>
      </c>
      <c r="F17" s="152"/>
      <c r="G17" s="152"/>
      <c r="H17" s="152"/>
      <c r="I17" s="152"/>
      <c r="J17" s="152"/>
    </row>
    <row r="18" spans="1:10">
      <c r="A18" s="149" t="s">
        <v>427</v>
      </c>
      <c r="B18" s="145">
        <v>612000</v>
      </c>
      <c r="C18" s="145">
        <v>254600</v>
      </c>
      <c r="D18" s="145">
        <v>846600</v>
      </c>
      <c r="E18" s="370">
        <v>1784300</v>
      </c>
      <c r="F18" s="152"/>
      <c r="G18" s="152"/>
      <c r="H18" s="152"/>
      <c r="I18" s="152"/>
      <c r="J18" s="152"/>
    </row>
    <row r="19" spans="1:10">
      <c r="A19" s="149" t="s">
        <v>428</v>
      </c>
      <c r="B19" s="145">
        <v>6400000</v>
      </c>
      <c r="C19" s="145">
        <v>7622000</v>
      </c>
      <c r="D19" s="145">
        <v>6630000</v>
      </c>
      <c r="E19" s="370">
        <v>7633000</v>
      </c>
      <c r="F19" s="152"/>
      <c r="G19" s="152"/>
      <c r="H19" s="152"/>
      <c r="I19" s="152"/>
      <c r="J19" s="152"/>
    </row>
    <row r="20" spans="1:10">
      <c r="A20" s="149" t="s">
        <v>429</v>
      </c>
      <c r="B20" s="145">
        <v>19205500</v>
      </c>
      <c r="C20" s="145">
        <v>23077000</v>
      </c>
      <c r="D20" s="145">
        <v>22149500</v>
      </c>
      <c r="E20" s="370">
        <v>23436000</v>
      </c>
      <c r="F20" s="152"/>
      <c r="G20" s="152"/>
      <c r="H20" s="152"/>
      <c r="I20" s="152"/>
      <c r="J20" s="152"/>
    </row>
    <row r="21" spans="1:10">
      <c r="A21" s="149" t="s">
        <v>875</v>
      </c>
      <c r="B21" s="145">
        <v>1464000</v>
      </c>
      <c r="C21" s="145">
        <v>1787000</v>
      </c>
      <c r="D21" s="145">
        <v>1790000</v>
      </c>
      <c r="E21" s="370">
        <v>1924000</v>
      </c>
      <c r="F21" s="152"/>
      <c r="G21" s="152"/>
      <c r="H21" s="152"/>
      <c r="I21" s="152"/>
      <c r="J21" s="152"/>
    </row>
    <row r="22" spans="1:10">
      <c r="A22" s="149" t="s">
        <v>430</v>
      </c>
      <c r="B22" s="145">
        <v>12316036</v>
      </c>
      <c r="C22" s="145">
        <v>12788223</v>
      </c>
      <c r="D22" s="145">
        <v>13591570</v>
      </c>
      <c r="E22" s="370"/>
      <c r="F22" s="152"/>
      <c r="G22" s="152"/>
      <c r="H22" s="152"/>
      <c r="I22" s="152"/>
      <c r="J22" s="152"/>
    </row>
    <row r="23" spans="1:10">
      <c r="A23" s="149" t="s">
        <v>431</v>
      </c>
      <c r="B23" s="145">
        <v>2046600</v>
      </c>
      <c r="C23" s="145">
        <v>2372760</v>
      </c>
      <c r="D23" s="145">
        <v>2268000</v>
      </c>
      <c r="E23" s="370">
        <v>2371640</v>
      </c>
      <c r="F23" s="152"/>
      <c r="G23" s="152"/>
      <c r="H23" s="152"/>
      <c r="I23" s="152"/>
      <c r="J23" s="152"/>
    </row>
    <row r="24" spans="1:10">
      <c r="A24" s="149" t="s">
        <v>432</v>
      </c>
      <c r="B24" s="145">
        <v>551750</v>
      </c>
      <c r="C24" s="145">
        <v>760625</v>
      </c>
      <c r="D24" s="145">
        <v>731750</v>
      </c>
      <c r="E24" s="370">
        <v>354480</v>
      </c>
      <c r="F24" s="152"/>
      <c r="G24" s="152"/>
      <c r="H24" s="152"/>
      <c r="I24" s="152"/>
      <c r="J24" s="152"/>
    </row>
    <row r="25" spans="1:10" s="421" customFormat="1">
      <c r="A25" s="421" t="s">
        <v>433</v>
      </c>
      <c r="B25" s="1844">
        <v>781920</v>
      </c>
      <c r="C25" s="1844">
        <v>436470</v>
      </c>
      <c r="D25" s="1844">
        <v>415290</v>
      </c>
      <c r="E25" s="1842">
        <v>506400</v>
      </c>
      <c r="F25" s="1846"/>
      <c r="G25" s="1846"/>
      <c r="H25" s="1846"/>
      <c r="I25" s="1846"/>
      <c r="J25" s="1846"/>
    </row>
    <row r="26" spans="1:10">
      <c r="A26" s="149" t="s">
        <v>434</v>
      </c>
      <c r="B26" s="145">
        <v>2791328</v>
      </c>
      <c r="C26" s="145">
        <v>644709</v>
      </c>
      <c r="D26" s="152">
        <v>849848</v>
      </c>
      <c r="E26" s="374">
        <v>1871347</v>
      </c>
      <c r="F26" s="194"/>
      <c r="G26" s="194"/>
      <c r="H26" s="194"/>
      <c r="I26" s="194"/>
      <c r="J26" s="194"/>
    </row>
    <row r="27" spans="1:10">
      <c r="A27" s="149" t="s">
        <v>435</v>
      </c>
      <c r="B27" s="152">
        <v>1789552</v>
      </c>
      <c r="C27" s="152">
        <v>2222160</v>
      </c>
      <c r="D27" s="145">
        <v>1745000</v>
      </c>
      <c r="E27" s="1680">
        <v>3528900</v>
      </c>
      <c r="F27" s="152"/>
      <c r="G27" s="152"/>
      <c r="H27" s="152"/>
      <c r="I27" s="152"/>
    </row>
    <row r="28" spans="1:10">
      <c r="A28" t="s">
        <v>437</v>
      </c>
      <c r="B28" s="145">
        <v>692988</v>
      </c>
      <c r="C28" s="254">
        <v>472300</v>
      </c>
      <c r="D28" s="145">
        <v>363055</v>
      </c>
      <c r="E28" s="1682">
        <v>326640</v>
      </c>
    </row>
    <row r="29" spans="1:10" s="377" customFormat="1">
      <c r="A29" s="377" t="s">
        <v>847</v>
      </c>
      <c r="B29" s="145"/>
      <c r="C29" s="254"/>
      <c r="D29" s="145"/>
      <c r="E29" s="374">
        <v>108000</v>
      </c>
    </row>
    <row r="30" spans="1:10" s="377" customFormat="1">
      <c r="A30" s="377" t="s">
        <v>848</v>
      </c>
      <c r="B30" s="145"/>
      <c r="C30" s="254"/>
      <c r="D30" s="145"/>
      <c r="E30" s="374">
        <v>260000</v>
      </c>
    </row>
    <row r="31" spans="1:10" s="421" customFormat="1">
      <c r="A31" s="421" t="s">
        <v>433</v>
      </c>
      <c r="B31" s="1844"/>
      <c r="C31" s="1845"/>
      <c r="D31" s="1844">
        <v>415290</v>
      </c>
      <c r="E31" s="1843">
        <v>506400</v>
      </c>
    </row>
    <row r="32" spans="1:10" s="377" customFormat="1">
      <c r="A32" s="149" t="s">
        <v>849</v>
      </c>
      <c r="B32" s="152"/>
      <c r="C32" s="152"/>
      <c r="D32" s="145"/>
      <c r="E32" s="1680">
        <v>0</v>
      </c>
      <c r="F32" s="152"/>
      <c r="G32" s="152"/>
      <c r="H32" s="152"/>
      <c r="I32" s="152"/>
    </row>
    <row r="33" spans="1:10" s="377" customFormat="1">
      <c r="A33" s="149" t="s">
        <v>850</v>
      </c>
      <c r="B33" s="152"/>
      <c r="C33" s="152"/>
      <c r="D33" s="145"/>
      <c r="E33" s="370">
        <v>14204445</v>
      </c>
      <c r="F33" s="152"/>
      <c r="G33" s="152"/>
      <c r="H33" s="152"/>
      <c r="I33" s="152"/>
    </row>
    <row r="34" spans="1:10" s="377" customFormat="1">
      <c r="A34" t="s">
        <v>448</v>
      </c>
      <c r="B34" s="145">
        <v>1285570</v>
      </c>
      <c r="C34" s="145">
        <v>2064600</v>
      </c>
      <c r="D34" s="145">
        <v>1515900</v>
      </c>
      <c r="E34" s="1680">
        <v>3906000</v>
      </c>
      <c r="F34" s="152"/>
      <c r="G34" s="152"/>
      <c r="H34" s="152"/>
      <c r="I34" s="152"/>
    </row>
    <row r="35" spans="1:10" s="377" customFormat="1">
      <c r="A35" s="377" t="s">
        <v>876</v>
      </c>
      <c r="B35" s="145">
        <v>0</v>
      </c>
      <c r="C35" s="145">
        <v>0</v>
      </c>
      <c r="D35" s="145">
        <v>180000</v>
      </c>
      <c r="E35" s="370">
        <v>0</v>
      </c>
      <c r="F35" s="152"/>
      <c r="G35" s="152"/>
      <c r="H35" s="152"/>
      <c r="I35" s="152"/>
    </row>
    <row r="36" spans="1:10">
      <c r="A36" t="s">
        <v>441</v>
      </c>
      <c r="B36" s="145">
        <v>537876</v>
      </c>
      <c r="C36" s="145">
        <v>1006325</v>
      </c>
      <c r="D36" s="145">
        <v>973560</v>
      </c>
      <c r="E36" s="1682">
        <v>1155180</v>
      </c>
    </row>
    <row r="37" spans="1:10">
      <c r="A37" t="s">
        <v>440</v>
      </c>
      <c r="B37" s="145">
        <v>116000</v>
      </c>
      <c r="C37" s="145">
        <v>130000</v>
      </c>
      <c r="D37" s="145">
        <v>1015000</v>
      </c>
      <c r="E37" s="1682">
        <v>737580</v>
      </c>
    </row>
    <row r="38" spans="1:10">
      <c r="A38" s="149" t="s">
        <v>459</v>
      </c>
      <c r="B38" s="253">
        <v>834130</v>
      </c>
      <c r="C38" s="253">
        <v>45200</v>
      </c>
      <c r="D38" s="253">
        <v>332000</v>
      </c>
      <c r="E38" s="374"/>
    </row>
    <row r="39" spans="1:10" ht="15.75" thickBot="1">
      <c r="A39" s="256" t="s">
        <v>466</v>
      </c>
      <c r="B39" s="257">
        <f>SUM(B16:B38)</f>
        <v>55338031</v>
      </c>
      <c r="C39" s="257">
        <f t="shared" ref="C39" si="0">SUM(C16:C38)</f>
        <v>65199612</v>
      </c>
      <c r="D39" s="257">
        <f>SUM(D16:D38)</f>
        <v>57854263</v>
      </c>
      <c r="E39" s="371">
        <f>SUM(E15:E38)</f>
        <v>159718182</v>
      </c>
      <c r="F39" s="259"/>
      <c r="G39" s="259"/>
      <c r="H39" s="259"/>
      <c r="I39" s="259"/>
      <c r="J39" s="258"/>
    </row>
    <row r="40" spans="1:10" ht="15.75" thickTop="1">
      <c r="A40" s="144" t="s">
        <v>464</v>
      </c>
      <c r="B40" s="144"/>
      <c r="C40" s="144"/>
      <c r="E40" s="370"/>
      <c r="F40" s="152"/>
      <c r="G40" s="152"/>
      <c r="H40" s="152"/>
      <c r="I40" s="152"/>
    </row>
    <row r="41" spans="1:10">
      <c r="A41" s="149" t="s">
        <v>436</v>
      </c>
      <c r="B41" s="145">
        <v>4082975</v>
      </c>
      <c r="C41" s="145">
        <v>3333980</v>
      </c>
      <c r="D41" s="145">
        <v>2626601</v>
      </c>
      <c r="E41" s="374">
        <v>2606850</v>
      </c>
    </row>
    <row r="42" spans="1:10">
      <c r="A42" s="149" t="s">
        <v>349</v>
      </c>
      <c r="B42" s="145">
        <v>1020000</v>
      </c>
      <c r="C42" s="145">
        <v>680000</v>
      </c>
      <c r="D42" s="145">
        <v>605000</v>
      </c>
      <c r="E42" s="374">
        <v>660000</v>
      </c>
    </row>
    <row r="43" spans="1:10" ht="15.75" thickBot="1">
      <c r="A43" s="256" t="s">
        <v>22</v>
      </c>
      <c r="B43" s="257">
        <f>SUM(B41:B42)</f>
        <v>5102975</v>
      </c>
      <c r="C43" s="257">
        <f>SUM(C41:C42)</f>
        <v>4013980</v>
      </c>
      <c r="D43" s="257">
        <f>SUM(D41:D42)</f>
        <v>3231601</v>
      </c>
      <c r="E43" s="371">
        <f>SUM(E41:E42)</f>
        <v>3266850</v>
      </c>
      <c r="F43" s="258"/>
      <c r="G43" s="258"/>
      <c r="H43" s="258"/>
      <c r="I43" s="258"/>
      <c r="J43" s="258"/>
    </row>
    <row r="44" spans="1:10" ht="15.75" thickTop="1">
      <c r="B44" s="145"/>
      <c r="C44" s="145"/>
      <c r="D44" s="145"/>
    </row>
    <row r="45" spans="1:10" s="377" customFormat="1">
      <c r="A45" s="144" t="s">
        <v>870</v>
      </c>
      <c r="B45" s="145"/>
      <c r="C45" s="145"/>
      <c r="D45" s="145"/>
      <c r="E45" s="366"/>
    </row>
    <row r="46" spans="1:10" s="377" customFormat="1">
      <c r="A46" t="s">
        <v>444</v>
      </c>
      <c r="B46" s="145">
        <v>978500</v>
      </c>
      <c r="C46" s="145">
        <v>1104859</v>
      </c>
      <c r="D46" s="145">
        <v>1286637</v>
      </c>
      <c r="E46" s="374">
        <v>333900</v>
      </c>
    </row>
    <row r="47" spans="1:10" s="377" customFormat="1">
      <c r="A47" t="s">
        <v>449</v>
      </c>
      <c r="B47" s="145">
        <v>3726283</v>
      </c>
      <c r="C47" s="145">
        <v>4075692</v>
      </c>
      <c r="D47" s="145">
        <v>1308368</v>
      </c>
      <c r="E47" s="374">
        <v>1274031</v>
      </c>
    </row>
    <row r="48" spans="1:10" s="377" customFormat="1">
      <c r="A48" t="s">
        <v>451</v>
      </c>
      <c r="B48" s="145">
        <v>1986470</v>
      </c>
      <c r="C48" s="145">
        <v>452495</v>
      </c>
      <c r="D48" s="145">
        <v>0</v>
      </c>
      <c r="E48" s="374">
        <v>0</v>
      </c>
    </row>
    <row r="49" spans="1:10" s="377" customFormat="1">
      <c r="A49" s="421" t="s">
        <v>1086</v>
      </c>
      <c r="B49" s="148">
        <v>11753442</v>
      </c>
      <c r="C49" s="145">
        <v>12926449</v>
      </c>
      <c r="D49" s="145">
        <v>6311831</v>
      </c>
      <c r="E49" s="1613">
        <v>40239518</v>
      </c>
      <c r="F49" s="1614" t="s">
        <v>1026</v>
      </c>
      <c r="G49" s="1614"/>
    </row>
    <row r="50" spans="1:10" s="377" customFormat="1" ht="15.75" thickBot="1">
      <c r="A50" s="256" t="s">
        <v>935</v>
      </c>
      <c r="B50" s="257">
        <f>SUM(B46:B49)</f>
        <v>18444695</v>
      </c>
      <c r="C50" s="257">
        <f>SUM(C46:C49)</f>
        <v>18559495</v>
      </c>
      <c r="D50" s="257">
        <f>SUM(D46:D49)</f>
        <v>8906836</v>
      </c>
      <c r="E50" s="371">
        <f>SUM(E46:E49)</f>
        <v>41847449</v>
      </c>
      <c r="F50" s="258"/>
      <c r="G50" s="258"/>
      <c r="H50" s="258"/>
      <c r="I50" s="258"/>
      <c r="J50" s="258"/>
    </row>
    <row r="51" spans="1:10" ht="15.75" thickTop="1">
      <c r="A51" s="144" t="s">
        <v>851</v>
      </c>
      <c r="B51" s="145"/>
      <c r="C51" s="145"/>
      <c r="D51" s="145"/>
    </row>
    <row r="52" spans="1:10">
      <c r="A52" t="s">
        <v>438</v>
      </c>
      <c r="B52" s="145">
        <v>1129558</v>
      </c>
      <c r="C52" s="145">
        <v>1369378</v>
      </c>
      <c r="D52" s="145">
        <v>2980496</v>
      </c>
      <c r="E52" s="374">
        <v>3168021</v>
      </c>
    </row>
    <row r="53" spans="1:10">
      <c r="A53" t="s">
        <v>439</v>
      </c>
      <c r="B53" s="145">
        <v>10334689</v>
      </c>
      <c r="C53" s="145">
        <v>8164445</v>
      </c>
      <c r="D53" s="145">
        <v>7686711</v>
      </c>
      <c r="E53" s="374">
        <v>9845312</v>
      </c>
    </row>
    <row r="54" spans="1:10">
      <c r="A54" s="380" t="s">
        <v>877</v>
      </c>
      <c r="B54" s="145">
        <v>1103180</v>
      </c>
      <c r="C54" s="145">
        <v>1764070</v>
      </c>
      <c r="D54" s="145">
        <v>2345630</v>
      </c>
      <c r="E54" s="374">
        <v>2401968</v>
      </c>
    </row>
    <row r="55" spans="1:10">
      <c r="A55" t="s">
        <v>442</v>
      </c>
      <c r="B55" s="145">
        <v>8176840</v>
      </c>
      <c r="C55" s="145">
        <v>8376032</v>
      </c>
      <c r="D55" s="145">
        <v>7854400</v>
      </c>
      <c r="E55" s="374">
        <v>4937379</v>
      </c>
    </row>
    <row r="56" spans="1:10">
      <c r="A56" t="s">
        <v>443</v>
      </c>
      <c r="B56" s="145">
        <v>2857766</v>
      </c>
      <c r="C56" s="145">
        <v>4489631</v>
      </c>
      <c r="D56" s="145">
        <v>4009965</v>
      </c>
      <c r="E56" s="374">
        <v>4258250</v>
      </c>
    </row>
    <row r="57" spans="1:10">
      <c r="A57" t="s">
        <v>445</v>
      </c>
      <c r="B57" s="145">
        <v>24000</v>
      </c>
      <c r="C57" s="145">
        <v>32453</v>
      </c>
      <c r="D57" s="145">
        <v>71600</v>
      </c>
      <c r="E57" s="374">
        <v>109111</v>
      </c>
    </row>
    <row r="58" spans="1:10">
      <c r="A58" t="s">
        <v>446</v>
      </c>
      <c r="B58" s="145">
        <v>1957134</v>
      </c>
      <c r="C58" s="145">
        <v>1441572</v>
      </c>
      <c r="D58" s="145">
        <v>607553</v>
      </c>
      <c r="E58" s="374">
        <v>1670735</v>
      </c>
    </row>
    <row r="59" spans="1:10">
      <c r="A59" t="s">
        <v>447</v>
      </c>
      <c r="B59" s="145">
        <v>62000</v>
      </c>
      <c r="C59" s="145">
        <v>310300</v>
      </c>
      <c r="D59" s="145">
        <v>753240</v>
      </c>
      <c r="E59" s="374">
        <v>498900</v>
      </c>
    </row>
    <row r="60" spans="1:10">
      <c r="A60" t="s">
        <v>450</v>
      </c>
      <c r="B60" s="145">
        <v>218490</v>
      </c>
      <c r="C60" s="145">
        <v>70700</v>
      </c>
      <c r="D60" s="145">
        <v>60000</v>
      </c>
      <c r="E60" s="374">
        <v>3196951</v>
      </c>
    </row>
    <row r="61" spans="1:10">
      <c r="A61" t="s">
        <v>452</v>
      </c>
      <c r="B61" s="145">
        <v>503310</v>
      </c>
      <c r="C61" s="145">
        <v>525250</v>
      </c>
      <c r="D61" s="145">
        <v>866400</v>
      </c>
      <c r="E61" s="374">
        <v>302190</v>
      </c>
    </row>
    <row r="62" spans="1:10">
      <c r="A62" t="s">
        <v>453</v>
      </c>
      <c r="B62" s="145">
        <v>905988</v>
      </c>
      <c r="C62" s="145">
        <v>45000</v>
      </c>
      <c r="D62" s="145">
        <v>452222</v>
      </c>
      <c r="E62" s="374">
        <v>489667</v>
      </c>
    </row>
    <row r="63" spans="1:10">
      <c r="A63" t="s">
        <v>454</v>
      </c>
      <c r="B63" s="145">
        <v>323110</v>
      </c>
      <c r="C63" s="145">
        <v>932900</v>
      </c>
      <c r="D63" s="145">
        <v>619421</v>
      </c>
      <c r="E63" s="374">
        <v>3311451</v>
      </c>
    </row>
    <row r="64" spans="1:10">
      <c r="A64" t="s">
        <v>455</v>
      </c>
      <c r="B64" s="145">
        <v>823813</v>
      </c>
      <c r="C64" s="145">
        <v>438571</v>
      </c>
      <c r="D64" s="145">
        <v>500343</v>
      </c>
      <c r="E64" s="374">
        <v>235784</v>
      </c>
    </row>
    <row r="65" spans="1:10">
      <c r="A65" t="s">
        <v>456</v>
      </c>
      <c r="B65" s="145">
        <v>276890</v>
      </c>
      <c r="C65" s="145">
        <v>0</v>
      </c>
      <c r="D65" s="145">
        <v>221765</v>
      </c>
      <c r="E65" s="374">
        <v>57426</v>
      </c>
    </row>
    <row r="66" spans="1:10">
      <c r="A66" t="s">
        <v>457</v>
      </c>
      <c r="B66" s="145">
        <v>456000</v>
      </c>
      <c r="C66" s="145">
        <v>456000</v>
      </c>
      <c r="D66">
        <v>536894</v>
      </c>
      <c r="E66" s="374"/>
    </row>
    <row r="67" spans="1:10">
      <c r="A67" t="s">
        <v>458</v>
      </c>
      <c r="B67" s="145">
        <v>974719</v>
      </c>
      <c r="C67" s="145">
        <v>1349242</v>
      </c>
      <c r="D67" s="145">
        <v>355822</v>
      </c>
      <c r="E67" s="374">
        <v>1673200</v>
      </c>
    </row>
    <row r="68" spans="1:10">
      <c r="A68" s="149" t="s">
        <v>460</v>
      </c>
      <c r="B68" s="253">
        <v>0</v>
      </c>
      <c r="C68" s="253">
        <v>8178000</v>
      </c>
      <c r="D68" s="253">
        <v>0</v>
      </c>
      <c r="E68" s="374">
        <v>1111744</v>
      </c>
    </row>
    <row r="69" spans="1:10" s="1614" customFormat="1">
      <c r="A69" s="1611" t="s">
        <v>852</v>
      </c>
      <c r="B69" s="1612"/>
      <c r="C69" s="1612"/>
      <c r="D69" s="1612"/>
      <c r="E69" s="1613">
        <v>0</v>
      </c>
      <c r="F69" s="1614" t="s">
        <v>1005</v>
      </c>
    </row>
    <row r="70" spans="1:10" s="1614" customFormat="1">
      <c r="A70" s="1611" t="s">
        <v>853</v>
      </c>
      <c r="B70" s="1612" t="s">
        <v>1003</v>
      </c>
      <c r="C70" s="1612"/>
      <c r="D70" s="1612"/>
      <c r="E70" s="1613">
        <v>0</v>
      </c>
    </row>
    <row r="71" spans="1:10" s="377" customFormat="1">
      <c r="A71" s="149" t="s">
        <v>854</v>
      </c>
      <c r="B71" s="253"/>
      <c r="C71" s="253"/>
      <c r="D71" s="253"/>
      <c r="E71" s="374">
        <v>180000</v>
      </c>
    </row>
    <row r="72" spans="1:10" s="377" customFormat="1">
      <c r="A72" s="149" t="s">
        <v>855</v>
      </c>
      <c r="B72" s="253"/>
      <c r="C72" s="253"/>
      <c r="D72" s="253"/>
      <c r="E72" s="374">
        <v>1529691</v>
      </c>
    </row>
    <row r="73" spans="1:10" s="377" customFormat="1">
      <c r="A73" s="149" t="s">
        <v>856</v>
      </c>
      <c r="B73" s="253"/>
      <c r="C73" s="253"/>
      <c r="D73" s="253"/>
      <c r="E73" s="374">
        <v>842129</v>
      </c>
    </row>
    <row r="74" spans="1:10" s="1614" customFormat="1">
      <c r="A74" s="1611" t="s">
        <v>857</v>
      </c>
      <c r="B74" s="1612" t="s">
        <v>1003</v>
      </c>
      <c r="C74" s="1612"/>
      <c r="D74" s="1612"/>
      <c r="E74" s="1613">
        <v>0</v>
      </c>
    </row>
    <row r="75" spans="1:10" s="377" customFormat="1">
      <c r="A75" s="149" t="s">
        <v>858</v>
      </c>
      <c r="B75" s="253"/>
      <c r="C75" s="253"/>
      <c r="D75" s="253"/>
      <c r="E75" s="374">
        <v>664437</v>
      </c>
    </row>
    <row r="76" spans="1:10" s="1614" customFormat="1">
      <c r="A76" s="1611" t="s">
        <v>859</v>
      </c>
      <c r="B76" s="1612" t="s">
        <v>1003</v>
      </c>
      <c r="C76" s="1612"/>
      <c r="D76" s="1612"/>
      <c r="E76" s="1613">
        <v>0</v>
      </c>
    </row>
    <row r="77" spans="1:10" ht="15.75" thickBot="1">
      <c r="A77" s="256" t="s">
        <v>465</v>
      </c>
      <c r="B77" s="260">
        <f>SUM(B52:B76)</f>
        <v>30127487</v>
      </c>
      <c r="C77" s="260">
        <f>SUM(C52:C76)</f>
        <v>37943544</v>
      </c>
      <c r="D77" s="260">
        <f>SUM(D52:D76)</f>
        <v>29922462</v>
      </c>
      <c r="E77" s="379">
        <f>SUM(E52:E76)</f>
        <v>40484346</v>
      </c>
      <c r="F77" s="259"/>
      <c r="G77" s="259"/>
      <c r="H77" s="259"/>
      <c r="I77" s="259"/>
      <c r="J77" s="259"/>
    </row>
    <row r="78" spans="1:10" ht="15.75" thickTop="1">
      <c r="A78" s="149" t="s">
        <v>469</v>
      </c>
      <c r="B78" s="146">
        <v>100000</v>
      </c>
      <c r="C78" s="146">
        <v>7165403</v>
      </c>
      <c r="D78" s="146">
        <v>8806880</v>
      </c>
      <c r="E78" s="370"/>
      <c r="F78" s="152"/>
      <c r="G78" s="152"/>
      <c r="H78" s="152"/>
      <c r="I78" s="152"/>
      <c r="J78" s="152"/>
    </row>
    <row r="79" spans="1:10" s="1614" customFormat="1">
      <c r="A79" s="1611" t="s">
        <v>471</v>
      </c>
      <c r="B79" s="1615">
        <v>25708592</v>
      </c>
      <c r="C79" s="1615">
        <v>25708592</v>
      </c>
      <c r="D79" s="1615">
        <v>25708592</v>
      </c>
      <c r="E79" s="1616"/>
      <c r="F79" s="1616" t="s">
        <v>1004</v>
      </c>
      <c r="G79" s="1616"/>
      <c r="H79" s="1616"/>
      <c r="I79" s="1616"/>
      <c r="J79" s="1616"/>
    </row>
    <row r="80" spans="1:10">
      <c r="A80" s="144" t="s">
        <v>62</v>
      </c>
      <c r="B80" s="146"/>
      <c r="C80" s="255"/>
      <c r="D80" s="146"/>
      <c r="E80" s="373"/>
      <c r="F80" s="194"/>
      <c r="G80" s="194"/>
      <c r="H80" s="194"/>
      <c r="I80" s="194"/>
      <c r="J80" s="194"/>
    </row>
    <row r="81" spans="1:6">
      <c r="A81" s="149" t="s">
        <v>467</v>
      </c>
      <c r="B81" s="146">
        <v>10442853</v>
      </c>
      <c r="C81" s="146">
        <v>11229405</v>
      </c>
      <c r="D81" s="146">
        <v>3490089</v>
      </c>
    </row>
    <row r="82" spans="1:6" ht="31.5" customHeight="1">
      <c r="A82" s="375" t="s">
        <v>607</v>
      </c>
      <c r="B82" s="145"/>
      <c r="C82" s="145"/>
      <c r="D82" s="145"/>
    </row>
    <row r="83" spans="1:6">
      <c r="A83" s="144" t="s">
        <v>473</v>
      </c>
      <c r="B83" s="255">
        <f>B81+B79+B78+B77+B43+B50+B39+B12</f>
        <v>182317201</v>
      </c>
      <c r="C83" s="255">
        <f>C81+C79+C78+C77+C43+C50+C39+C12</f>
        <v>208063308</v>
      </c>
      <c r="D83" s="255">
        <f>D81+D79+D78+D77+D43+D50+D39+D12</f>
        <v>171901431</v>
      </c>
      <c r="E83" s="1455">
        <f>E81+E79+E78+E77+E43+E50+E39+E12</f>
        <v>272222625</v>
      </c>
      <c r="F83" s="254"/>
    </row>
    <row r="84" spans="1:6">
      <c r="E84" s="2008" t="s">
        <v>606</v>
      </c>
    </row>
    <row r="85" spans="1:6" ht="33.75" customHeight="1">
      <c r="A85" s="144"/>
      <c r="E85" s="2008"/>
    </row>
    <row r="86" spans="1:6" ht="51" customHeight="1">
      <c r="B86" s="145"/>
      <c r="C86" s="145"/>
      <c r="D86" s="145"/>
      <c r="E86" s="2008"/>
    </row>
    <row r="87" spans="1:6">
      <c r="B87" s="145"/>
      <c r="C87" s="145"/>
      <c r="D87" s="145"/>
    </row>
    <row r="88" spans="1:6">
      <c r="B88" s="145"/>
      <c r="C88" s="145"/>
      <c r="D88" s="145"/>
    </row>
    <row r="89" spans="1:6">
      <c r="B89" s="145"/>
      <c r="C89" s="145"/>
      <c r="D89" s="145"/>
    </row>
    <row r="90" spans="1:6">
      <c r="B90" s="145"/>
      <c r="C90" s="145"/>
      <c r="D90" s="145"/>
    </row>
    <row r="91" spans="1:6">
      <c r="B91" s="145"/>
      <c r="C91" s="145"/>
      <c r="D91" s="145"/>
    </row>
    <row r="92" spans="1:6">
      <c r="B92" s="145"/>
      <c r="C92" s="145"/>
      <c r="D92" s="145"/>
    </row>
    <row r="93" spans="1:6">
      <c r="B93" s="145"/>
      <c r="C93" s="145"/>
      <c r="D93" s="145"/>
    </row>
    <row r="94" spans="1:6">
      <c r="B94" s="145"/>
      <c r="C94" s="145"/>
      <c r="D94" s="145"/>
    </row>
    <row r="95" spans="1:6">
      <c r="A95" s="144"/>
      <c r="B95" s="146"/>
      <c r="C95" s="146"/>
      <c r="D95" s="146"/>
    </row>
    <row r="96" spans="1:6">
      <c r="A96" s="144"/>
      <c r="B96" s="146"/>
      <c r="C96" s="146"/>
      <c r="D96" s="146"/>
    </row>
    <row r="97" spans="1:4">
      <c r="A97" s="144"/>
      <c r="C97" s="145"/>
    </row>
    <row r="98" spans="1:4">
      <c r="B98" s="145"/>
      <c r="C98" s="145"/>
      <c r="D98" s="145"/>
    </row>
    <row r="99" spans="1:4">
      <c r="B99" s="145"/>
      <c r="C99" s="145"/>
      <c r="D99" s="145"/>
    </row>
    <row r="100" spans="1:4">
      <c r="B100" s="145"/>
      <c r="C100" s="145"/>
      <c r="D100" s="145"/>
    </row>
    <row r="101" spans="1:4">
      <c r="A101" s="144"/>
      <c r="B101" s="146"/>
      <c r="C101" s="146"/>
      <c r="D101" s="146"/>
    </row>
    <row r="103" spans="1:4">
      <c r="A103" s="144"/>
      <c r="C103" s="145"/>
    </row>
    <row r="104" spans="1:4">
      <c r="B104" s="145"/>
      <c r="C104" s="145"/>
      <c r="D104" s="145"/>
    </row>
    <row r="105" spans="1:4">
      <c r="B105" s="145"/>
      <c r="C105" s="145"/>
      <c r="D105" s="145"/>
    </row>
    <row r="106" spans="1:4">
      <c r="A106" s="144"/>
      <c r="B106" s="147"/>
      <c r="C106" s="147"/>
      <c r="D106" s="147"/>
    </row>
    <row r="107" spans="1:4">
      <c r="C107" s="145"/>
    </row>
    <row r="108" spans="1:4">
      <c r="A108" s="144"/>
      <c r="B108" s="150"/>
      <c r="C108" s="150"/>
      <c r="D108" s="150"/>
    </row>
  </sheetData>
  <mergeCells count="1">
    <mergeCell ref="E84:E86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Q91"/>
  <sheetViews>
    <sheetView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K10" sqref="K10"/>
    </sheetView>
  </sheetViews>
  <sheetFormatPr defaultColWidth="9.140625" defaultRowHeight="12.75"/>
  <cols>
    <col min="1" max="1" width="17.28515625" style="763" customWidth="1"/>
    <col min="2" max="3" width="10.42578125" style="763" bestFit="1" customWidth="1"/>
    <col min="4" max="4" width="12.5703125" style="763" customWidth="1"/>
    <col min="5" max="5" width="15.5703125" style="763" customWidth="1"/>
    <col min="6" max="6" width="13.5703125" style="763" customWidth="1"/>
    <col min="7" max="7" width="14.85546875" style="763" customWidth="1"/>
    <col min="8" max="8" width="12.140625" style="763" customWidth="1"/>
    <col min="9" max="9" width="10.42578125" style="763" bestFit="1" customWidth="1"/>
    <col min="10" max="10" width="12" style="763" bestFit="1" customWidth="1"/>
    <col min="11" max="11" width="15" style="763" customWidth="1"/>
    <col min="12" max="12" width="11.28515625" style="763" customWidth="1"/>
    <col min="13" max="40" width="10.42578125" style="763" bestFit="1" customWidth="1"/>
    <col min="41" max="42" width="9.28515625" style="763" bestFit="1" customWidth="1"/>
    <col min="43" max="16384" width="9.140625" style="763"/>
  </cols>
  <sheetData>
    <row r="1" spans="1:11" ht="13.5" thickBot="1"/>
    <row r="2" spans="1:11">
      <c r="A2" s="1074" t="s">
        <v>495</v>
      </c>
      <c r="B2" s="1075"/>
      <c r="C2" s="1075"/>
      <c r="D2" s="1076"/>
      <c r="E2" s="1076"/>
      <c r="F2" s="1076"/>
      <c r="G2" s="1076"/>
      <c r="H2" s="1076"/>
      <c r="I2" s="1077"/>
    </row>
    <row r="3" spans="1:11">
      <c r="A3" s="1078"/>
      <c r="B3" s="1079"/>
      <c r="C3" s="1079"/>
      <c r="D3" s="1079"/>
      <c r="E3" s="1079"/>
      <c r="F3" s="1079"/>
      <c r="G3" s="1079"/>
      <c r="H3" s="1079"/>
      <c r="I3" s="1080"/>
    </row>
    <row r="4" spans="1:11" ht="25.5">
      <c r="A4" s="1081" t="s">
        <v>496</v>
      </c>
      <c r="B4" s="1082" t="s">
        <v>209</v>
      </c>
      <c r="C4" s="1082" t="s">
        <v>497</v>
      </c>
      <c r="D4" s="1082" t="s">
        <v>498</v>
      </c>
      <c r="E4" s="1082" t="s">
        <v>499</v>
      </c>
      <c r="F4" s="1082" t="s">
        <v>500</v>
      </c>
      <c r="G4" s="1082" t="s">
        <v>501</v>
      </c>
      <c r="H4" s="1082" t="s">
        <v>502</v>
      </c>
      <c r="I4" s="1083" t="s">
        <v>503</v>
      </c>
    </row>
    <row r="5" spans="1:11" ht="15">
      <c r="A5" s="2009">
        <v>2008</v>
      </c>
      <c r="B5" s="2010">
        <v>1</v>
      </c>
      <c r="C5" s="1079">
        <v>1</v>
      </c>
      <c r="D5" s="276">
        <v>0</v>
      </c>
      <c r="E5" s="276">
        <f>D5</f>
        <v>0</v>
      </c>
      <c r="F5" s="276"/>
      <c r="G5" s="276">
        <f>-F5</f>
        <v>0</v>
      </c>
      <c r="H5" s="2011">
        <f>G5+G6</f>
        <v>0</v>
      </c>
      <c r="I5" s="277">
        <v>0.02</v>
      </c>
    </row>
    <row r="6" spans="1:11" ht="15">
      <c r="A6" s="2009"/>
      <c r="B6" s="2010"/>
      <c r="C6" s="1079">
        <f t="shared" ref="C6:C69" si="0">C5+1</f>
        <v>2</v>
      </c>
      <c r="D6" s="276">
        <v>0</v>
      </c>
      <c r="E6" s="276">
        <f t="shared" ref="E6:E20" si="1">E5+D6</f>
        <v>0</v>
      </c>
      <c r="F6" s="276"/>
      <c r="G6" s="276">
        <f t="shared" ref="G6:G24" si="2">-F6</f>
        <v>0</v>
      </c>
      <c r="H6" s="2011"/>
      <c r="I6" s="1080"/>
      <c r="K6" s="791"/>
    </row>
    <row r="7" spans="1:11" ht="15">
      <c r="A7" s="2009">
        <v>2009</v>
      </c>
      <c r="B7" s="2010">
        <v>2</v>
      </c>
      <c r="C7" s="1079">
        <f t="shared" si="0"/>
        <v>3</v>
      </c>
      <c r="D7" s="276">
        <v>0</v>
      </c>
      <c r="E7" s="276">
        <f t="shared" si="1"/>
        <v>0</v>
      </c>
      <c r="F7" s="276"/>
      <c r="G7" s="276">
        <f t="shared" si="2"/>
        <v>0</v>
      </c>
      <c r="H7" s="2011">
        <f>G7+G8</f>
        <v>0</v>
      </c>
      <c r="I7" s="1080"/>
    </row>
    <row r="8" spans="1:11" ht="15">
      <c r="A8" s="2009"/>
      <c r="B8" s="2010"/>
      <c r="C8" s="1079">
        <f t="shared" si="0"/>
        <v>4</v>
      </c>
      <c r="D8" s="276">
        <v>0</v>
      </c>
      <c r="E8" s="276">
        <f t="shared" si="1"/>
        <v>0</v>
      </c>
      <c r="F8" s="276"/>
      <c r="G8" s="276">
        <f t="shared" si="2"/>
        <v>0</v>
      </c>
      <c r="H8" s="2011"/>
      <c r="I8" s="1080"/>
    </row>
    <row r="9" spans="1:11" ht="15">
      <c r="A9" s="2009">
        <v>2010</v>
      </c>
      <c r="B9" s="2010">
        <v>3</v>
      </c>
      <c r="C9" s="1079">
        <f t="shared" si="0"/>
        <v>5</v>
      </c>
      <c r="D9" s="276">
        <v>136473014</v>
      </c>
      <c r="E9" s="276">
        <f t="shared" si="1"/>
        <v>136473014</v>
      </c>
      <c r="F9" s="276">
        <f>E9*$I$5/2</f>
        <v>1364730.1400000001</v>
      </c>
      <c r="G9" s="276">
        <f>-F9</f>
        <v>-1364730.1400000001</v>
      </c>
      <c r="H9" s="2011">
        <f>G9+G10</f>
        <v>-4094190.4200000004</v>
      </c>
      <c r="I9" s="1080"/>
    </row>
    <row r="10" spans="1:11" ht="15">
      <c r="A10" s="2009"/>
      <c r="B10" s="2010"/>
      <c r="C10" s="1079">
        <f t="shared" si="0"/>
        <v>6</v>
      </c>
      <c r="D10" s="276">
        <f>D9</f>
        <v>136473014</v>
      </c>
      <c r="E10" s="276">
        <f t="shared" si="1"/>
        <v>272946028</v>
      </c>
      <c r="F10" s="276">
        <f>E10*$I$5/2</f>
        <v>2729460.2800000003</v>
      </c>
      <c r="G10" s="276">
        <f t="shared" si="2"/>
        <v>-2729460.2800000003</v>
      </c>
      <c r="H10" s="2011"/>
      <c r="I10" s="1080"/>
      <c r="K10" s="1084"/>
    </row>
    <row r="11" spans="1:11" ht="15">
      <c r="A11" s="2009">
        <v>2011</v>
      </c>
      <c r="B11" s="2010">
        <v>4</v>
      </c>
      <c r="C11" s="1079">
        <f t="shared" si="0"/>
        <v>7</v>
      </c>
      <c r="D11" s="276">
        <v>204709521</v>
      </c>
      <c r="E11" s="276">
        <f t="shared" si="1"/>
        <v>477655549</v>
      </c>
      <c r="F11" s="276">
        <f t="shared" ref="F11:F73" si="3">E11*$I$5/2</f>
        <v>4776555.49</v>
      </c>
      <c r="G11" s="276">
        <f t="shared" si="2"/>
        <v>-4776555.49</v>
      </c>
      <c r="H11" s="2011">
        <f>G11+G12</f>
        <v>-11600206.190000001</v>
      </c>
      <c r="I11" s="1080"/>
    </row>
    <row r="12" spans="1:11" ht="15">
      <c r="A12" s="2009"/>
      <c r="B12" s="2010"/>
      <c r="C12" s="1079">
        <f t="shared" si="0"/>
        <v>8</v>
      </c>
      <c r="D12" s="276">
        <f>D11</f>
        <v>204709521</v>
      </c>
      <c r="E12" s="276">
        <f t="shared" si="1"/>
        <v>682365070</v>
      </c>
      <c r="F12" s="276">
        <f t="shared" si="3"/>
        <v>6823650.7000000002</v>
      </c>
      <c r="G12" s="276">
        <f t="shared" si="2"/>
        <v>-6823650.7000000002</v>
      </c>
      <c r="H12" s="2011"/>
      <c r="I12" s="1080"/>
    </row>
    <row r="13" spans="1:11" ht="15">
      <c r="A13" s="2009">
        <v>2012</v>
      </c>
      <c r="B13" s="2010">
        <v>5</v>
      </c>
      <c r="C13" s="1079">
        <f t="shared" si="0"/>
        <v>9</v>
      </c>
      <c r="D13" s="276">
        <v>126510893</v>
      </c>
      <c r="E13" s="276">
        <f t="shared" si="1"/>
        <v>808875963</v>
      </c>
      <c r="F13" s="276">
        <f t="shared" si="3"/>
        <v>8088759.6299999999</v>
      </c>
      <c r="G13" s="276">
        <f t="shared" si="2"/>
        <v>-8088759.6299999999</v>
      </c>
      <c r="H13" s="2011">
        <f>G13+G14</f>
        <v>-17442628.190000001</v>
      </c>
      <c r="I13" s="1080"/>
    </row>
    <row r="14" spans="1:11" ht="15">
      <c r="A14" s="2009"/>
      <c r="B14" s="2010"/>
      <c r="C14" s="1079">
        <f t="shared" si="0"/>
        <v>10</v>
      </c>
      <c r="D14" s="276">
        <f>D13</f>
        <v>126510893</v>
      </c>
      <c r="E14" s="276">
        <f t="shared" si="1"/>
        <v>935386856</v>
      </c>
      <c r="F14" s="276">
        <f t="shared" si="3"/>
        <v>9353868.5600000005</v>
      </c>
      <c r="G14" s="276">
        <f t="shared" si="2"/>
        <v>-9353868.5600000005</v>
      </c>
      <c r="H14" s="2011"/>
      <c r="I14" s="1080"/>
    </row>
    <row r="15" spans="1:11" ht="15">
      <c r="A15" s="2009">
        <v>2013</v>
      </c>
      <c r="B15" s="2010">
        <v>6</v>
      </c>
      <c r="C15" s="1079">
        <f t="shared" si="0"/>
        <v>11</v>
      </c>
      <c r="D15" s="276">
        <v>126510893</v>
      </c>
      <c r="E15" s="276">
        <f t="shared" si="1"/>
        <v>1061897749</v>
      </c>
      <c r="F15" s="276">
        <f t="shared" si="3"/>
        <v>10618977.49</v>
      </c>
      <c r="G15" s="276">
        <f t="shared" si="2"/>
        <v>-10618977.49</v>
      </c>
      <c r="H15" s="2011">
        <f>G15+G16</f>
        <v>-22503063.91</v>
      </c>
      <c r="I15" s="1080"/>
    </row>
    <row r="16" spans="1:11" ht="15">
      <c r="A16" s="2009"/>
      <c r="B16" s="2010"/>
      <c r="C16" s="1079">
        <f t="shared" si="0"/>
        <v>12</v>
      </c>
      <c r="D16" s="276">
        <f>D15</f>
        <v>126510893</v>
      </c>
      <c r="E16" s="276">
        <f t="shared" si="1"/>
        <v>1188408642</v>
      </c>
      <c r="F16" s="276">
        <f t="shared" si="3"/>
        <v>11884086.42</v>
      </c>
      <c r="G16" s="276">
        <f t="shared" si="2"/>
        <v>-11884086.42</v>
      </c>
      <c r="H16" s="2011"/>
      <c r="I16" s="1080"/>
    </row>
    <row r="17" spans="1:11" ht="15">
      <c r="A17" s="2009">
        <v>2014</v>
      </c>
      <c r="B17" s="2010">
        <v>7</v>
      </c>
      <c r="C17" s="1079">
        <f t="shared" si="0"/>
        <v>13</v>
      </c>
      <c r="D17" s="276">
        <v>116645964</v>
      </c>
      <c r="E17" s="276">
        <f t="shared" si="1"/>
        <v>1305054606</v>
      </c>
      <c r="F17" s="276">
        <f t="shared" si="3"/>
        <v>13050546.060000001</v>
      </c>
      <c r="G17" s="276">
        <f t="shared" si="2"/>
        <v>-13050546.060000001</v>
      </c>
      <c r="H17" s="2011">
        <f>G17+G18</f>
        <v>-27267551.760000002</v>
      </c>
      <c r="I17" s="1080"/>
    </row>
    <row r="18" spans="1:11" ht="15">
      <c r="A18" s="2009"/>
      <c r="B18" s="2010"/>
      <c r="C18" s="1079">
        <f t="shared" si="0"/>
        <v>14</v>
      </c>
      <c r="D18" s="276">
        <f>D17</f>
        <v>116645964</v>
      </c>
      <c r="E18" s="276">
        <f t="shared" si="1"/>
        <v>1421700570</v>
      </c>
      <c r="F18" s="276">
        <f t="shared" si="3"/>
        <v>14217005.700000001</v>
      </c>
      <c r="G18" s="276">
        <f t="shared" si="2"/>
        <v>-14217005.700000001</v>
      </c>
      <c r="H18" s="2011"/>
      <c r="I18" s="1080"/>
    </row>
    <row r="19" spans="1:11" ht="15">
      <c r="A19" s="2009">
        <v>2015</v>
      </c>
      <c r="B19" s="2010">
        <v>8</v>
      </c>
      <c r="C19" s="1079">
        <f t="shared" si="0"/>
        <v>15</v>
      </c>
      <c r="D19" s="276">
        <v>116645964</v>
      </c>
      <c r="E19" s="276">
        <f t="shared" si="1"/>
        <v>1538346534</v>
      </c>
      <c r="F19" s="276">
        <f t="shared" si="3"/>
        <v>15383465.34</v>
      </c>
      <c r="G19" s="276">
        <f t="shared" si="2"/>
        <v>-15383465.34</v>
      </c>
      <c r="H19" s="2011">
        <f>G19+G20</f>
        <v>-31933390.32</v>
      </c>
      <c r="I19" s="1080"/>
    </row>
    <row r="20" spans="1:11" ht="15">
      <c r="A20" s="2009"/>
      <c r="B20" s="2010"/>
      <c r="C20" s="1079">
        <f t="shared" si="0"/>
        <v>16</v>
      </c>
      <c r="D20" s="276">
        <f>D19</f>
        <v>116645964</v>
      </c>
      <c r="E20" s="276">
        <f t="shared" si="1"/>
        <v>1654992498</v>
      </c>
      <c r="F20" s="276">
        <f t="shared" si="3"/>
        <v>16549924.98</v>
      </c>
      <c r="G20" s="276">
        <f t="shared" si="2"/>
        <v>-16549924.98</v>
      </c>
      <c r="H20" s="2011"/>
      <c r="I20" s="1080"/>
    </row>
    <row r="21" spans="1:11" ht="15">
      <c r="A21" s="2009">
        <v>2016</v>
      </c>
      <c r="B21" s="2010">
        <v>9</v>
      </c>
      <c r="C21" s="1079">
        <f t="shared" si="0"/>
        <v>17</v>
      </c>
      <c r="D21" s="276"/>
      <c r="E21" s="276">
        <f>E20</f>
        <v>1654992498</v>
      </c>
      <c r="F21" s="276">
        <f t="shared" si="3"/>
        <v>16549924.98</v>
      </c>
      <c r="G21" s="276">
        <f t="shared" si="2"/>
        <v>-16549924.98</v>
      </c>
      <c r="H21" s="2011">
        <f>G21+G22</f>
        <v>-33099849.960000001</v>
      </c>
      <c r="I21" s="1080"/>
    </row>
    <row r="22" spans="1:11" ht="15">
      <c r="A22" s="2009"/>
      <c r="B22" s="2010"/>
      <c r="C22" s="1079">
        <f t="shared" si="0"/>
        <v>18</v>
      </c>
      <c r="D22" s="276"/>
      <c r="E22" s="276">
        <f>E21</f>
        <v>1654992498</v>
      </c>
      <c r="F22" s="276">
        <f t="shared" si="3"/>
        <v>16549924.98</v>
      </c>
      <c r="G22" s="276">
        <f t="shared" si="2"/>
        <v>-16549924.98</v>
      </c>
      <c r="H22" s="2011"/>
      <c r="I22" s="1080"/>
    </row>
    <row r="23" spans="1:11" ht="15">
      <c r="A23" s="2009">
        <v>2017</v>
      </c>
      <c r="B23" s="2010">
        <v>10</v>
      </c>
      <c r="C23" s="1079">
        <f t="shared" si="0"/>
        <v>19</v>
      </c>
      <c r="D23" s="276"/>
      <c r="E23" s="276">
        <f>E22</f>
        <v>1654992498</v>
      </c>
      <c r="F23" s="276">
        <f t="shared" si="3"/>
        <v>16549924.98</v>
      </c>
      <c r="G23" s="278">
        <f t="shared" si="2"/>
        <v>-16549924.98</v>
      </c>
      <c r="H23" s="2011">
        <f>G23+G24</f>
        <v>-33099849.960000001</v>
      </c>
      <c r="I23" s="1080"/>
    </row>
    <row r="24" spans="1:11" ht="15">
      <c r="A24" s="2009"/>
      <c r="B24" s="2010"/>
      <c r="C24" s="1079">
        <f t="shared" si="0"/>
        <v>20</v>
      </c>
      <c r="D24" s="276"/>
      <c r="E24" s="276">
        <f>E23</f>
        <v>1654992498</v>
      </c>
      <c r="F24" s="276">
        <f t="shared" si="3"/>
        <v>16549924.98</v>
      </c>
      <c r="G24" s="276">
        <f t="shared" si="2"/>
        <v>-16549924.98</v>
      </c>
      <c r="H24" s="2011"/>
      <c r="I24" s="1080"/>
      <c r="J24" s="763">
        <v>16549924.960000001</v>
      </c>
    </row>
    <row r="25" spans="1:11" ht="15">
      <c r="A25" s="2009">
        <v>2018</v>
      </c>
      <c r="B25" s="2010">
        <v>11</v>
      </c>
      <c r="C25" s="1079">
        <f t="shared" si="0"/>
        <v>21</v>
      </c>
      <c r="D25" s="276"/>
      <c r="E25" s="276">
        <f>D25+E24+F24+G24</f>
        <v>1654992498</v>
      </c>
      <c r="F25" s="276">
        <f t="shared" si="3"/>
        <v>16549924.98</v>
      </c>
      <c r="G25" s="276">
        <f>-F25-J24</f>
        <v>-33099849.940000001</v>
      </c>
      <c r="H25" s="2011">
        <f>G25+G26</f>
        <v>-66034200.630400002</v>
      </c>
      <c r="I25" s="1080"/>
    </row>
    <row r="26" spans="1:11" ht="15">
      <c r="A26" s="2009"/>
      <c r="B26" s="2010"/>
      <c r="C26" s="1079">
        <f t="shared" si="0"/>
        <v>22</v>
      </c>
      <c r="D26" s="276"/>
      <c r="E26" s="276">
        <f>D26+E25+F25+G25</f>
        <v>1638442573.04</v>
      </c>
      <c r="F26" s="276">
        <f t="shared" si="3"/>
        <v>16384425.7304</v>
      </c>
      <c r="G26" s="276">
        <f>-F26-J24</f>
        <v>-32934350.690400001</v>
      </c>
      <c r="H26" s="2011"/>
      <c r="I26" s="1080"/>
    </row>
    <row r="27" spans="1:11" ht="15">
      <c r="A27" s="2009">
        <v>2019</v>
      </c>
      <c r="B27" s="2010">
        <v>12</v>
      </c>
      <c r="C27" s="1079">
        <f t="shared" si="0"/>
        <v>23</v>
      </c>
      <c r="D27" s="276"/>
      <c r="E27" s="276">
        <f t="shared" ref="E27:E83" si="4">D27+E26+F26+G26</f>
        <v>1621892648.0800002</v>
      </c>
      <c r="F27" s="276">
        <f t="shared" si="3"/>
        <v>16218926.480800003</v>
      </c>
      <c r="G27" s="276">
        <f>-F27-J24</f>
        <v>-32768851.440800004</v>
      </c>
      <c r="H27" s="2011">
        <f>G27+G28</f>
        <v>-65372203.632000007</v>
      </c>
      <c r="I27" s="1080"/>
      <c r="K27" s="1085"/>
    </row>
    <row r="28" spans="1:11" ht="15">
      <c r="A28" s="2009"/>
      <c r="B28" s="2010"/>
      <c r="C28" s="1079">
        <f t="shared" si="0"/>
        <v>24</v>
      </c>
      <c r="D28" s="276"/>
      <c r="E28" s="276">
        <f t="shared" si="4"/>
        <v>1605342723.1200001</v>
      </c>
      <c r="F28" s="276">
        <f t="shared" si="3"/>
        <v>16053427.231200002</v>
      </c>
      <c r="G28" s="276">
        <f>-F28-J24</f>
        <v>-32603352.191200003</v>
      </c>
      <c r="H28" s="2011"/>
      <c r="I28" s="1080"/>
    </row>
    <row r="29" spans="1:11" ht="15">
      <c r="A29" s="2009">
        <v>2020</v>
      </c>
      <c r="B29" s="2010">
        <v>13</v>
      </c>
      <c r="C29" s="1079">
        <f t="shared" si="0"/>
        <v>25</v>
      </c>
      <c r="D29" s="276"/>
      <c r="E29" s="276">
        <f t="shared" si="4"/>
        <v>1588792798.1600001</v>
      </c>
      <c r="F29" s="276">
        <f t="shared" si="3"/>
        <v>15887927.981600001</v>
      </c>
      <c r="G29" s="276">
        <f>-F29-J24</f>
        <v>-32437852.941600002</v>
      </c>
      <c r="H29" s="2011">
        <f>G29+G30</f>
        <v>-64710206.633600004</v>
      </c>
      <c r="I29" s="1080"/>
    </row>
    <row r="30" spans="1:11" ht="15">
      <c r="A30" s="2009"/>
      <c r="B30" s="2010"/>
      <c r="C30" s="1079">
        <f t="shared" si="0"/>
        <v>26</v>
      </c>
      <c r="D30" s="276"/>
      <c r="E30" s="276">
        <f t="shared" si="4"/>
        <v>1572242873.2</v>
      </c>
      <c r="F30" s="276">
        <f t="shared" si="3"/>
        <v>15722428.732000001</v>
      </c>
      <c r="G30" s="276">
        <f>-F30-J24</f>
        <v>-32272353.692000002</v>
      </c>
      <c r="H30" s="2011"/>
      <c r="I30" s="1080"/>
    </row>
    <row r="31" spans="1:11" ht="15">
      <c r="A31" s="2009">
        <v>2021</v>
      </c>
      <c r="B31" s="2010">
        <v>14</v>
      </c>
      <c r="C31" s="1079">
        <f t="shared" si="0"/>
        <v>27</v>
      </c>
      <c r="D31" s="276"/>
      <c r="E31" s="276">
        <f t="shared" si="4"/>
        <v>1555692948.2400002</v>
      </c>
      <c r="F31" s="276">
        <f t="shared" si="3"/>
        <v>15556929.482400002</v>
      </c>
      <c r="G31" s="276">
        <f>-F31-J24</f>
        <v>-32106854.442400001</v>
      </c>
      <c r="H31" s="2011">
        <f>G31+G32</f>
        <v>-64048209.635200009</v>
      </c>
      <c r="I31" s="1080"/>
    </row>
    <row r="32" spans="1:11" ht="15">
      <c r="A32" s="2009"/>
      <c r="B32" s="2010"/>
      <c r="C32" s="1079">
        <f t="shared" si="0"/>
        <v>28</v>
      </c>
      <c r="D32" s="276"/>
      <c r="E32" s="276">
        <f>D32+E31+F31+G31</f>
        <v>1539143023.2800002</v>
      </c>
      <c r="F32" s="276">
        <f t="shared" si="3"/>
        <v>15391430.232800003</v>
      </c>
      <c r="G32" s="276">
        <f>-F32-J24</f>
        <v>-31941355.192800004</v>
      </c>
      <c r="H32" s="2011"/>
      <c r="I32" s="1080"/>
    </row>
    <row r="33" spans="1:10" ht="15">
      <c r="A33" s="2009">
        <v>2022</v>
      </c>
      <c r="B33" s="2010">
        <v>15</v>
      </c>
      <c r="C33" s="1079">
        <f t="shared" si="0"/>
        <v>29</v>
      </c>
      <c r="D33" s="276"/>
      <c r="E33" s="278">
        <f>D33+E32+F32+G32</f>
        <v>1522593098.3200002</v>
      </c>
      <c r="F33" s="276">
        <f t="shared" si="3"/>
        <v>15225930.983200002</v>
      </c>
      <c r="G33" s="276">
        <f>-F33-J24</f>
        <v>-31775855.943200003</v>
      </c>
      <c r="H33" s="2011">
        <f>G33+G34</f>
        <v>-63386212.636800006</v>
      </c>
      <c r="I33" s="1080"/>
    </row>
    <row r="34" spans="1:10" ht="15">
      <c r="A34" s="2009"/>
      <c r="B34" s="2010"/>
      <c r="C34" s="1079">
        <f t="shared" si="0"/>
        <v>30</v>
      </c>
      <c r="D34" s="276"/>
      <c r="E34" s="276">
        <f t="shared" si="4"/>
        <v>1506043173.3600001</v>
      </c>
      <c r="F34" s="276">
        <f t="shared" si="3"/>
        <v>15060431.733600002</v>
      </c>
      <c r="G34" s="276">
        <f>-F34-J24</f>
        <v>-31610356.693600003</v>
      </c>
      <c r="H34" s="2011"/>
      <c r="I34" s="1080"/>
    </row>
    <row r="35" spans="1:10" ht="15">
      <c r="A35" s="2009">
        <v>2023</v>
      </c>
      <c r="B35" s="2010">
        <v>16</v>
      </c>
      <c r="C35" s="1079">
        <v>31</v>
      </c>
      <c r="D35" s="276"/>
      <c r="E35" s="276">
        <f t="shared" si="4"/>
        <v>1489493248.4000001</v>
      </c>
      <c r="F35" s="276">
        <f t="shared" si="3"/>
        <v>14894932.484000001</v>
      </c>
      <c r="G35" s="276">
        <f>-F35-J24</f>
        <v>-31444857.444000002</v>
      </c>
      <c r="H35" s="2011">
        <f>G35+G36</f>
        <v>-62724215.638400003</v>
      </c>
      <c r="I35" s="1080"/>
    </row>
    <row r="36" spans="1:10" ht="15">
      <c r="A36" s="2009"/>
      <c r="B36" s="2010"/>
      <c r="C36" s="1079">
        <f t="shared" si="0"/>
        <v>32</v>
      </c>
      <c r="D36" s="276"/>
      <c r="E36" s="276">
        <f t="shared" si="4"/>
        <v>1472943323.4400001</v>
      </c>
      <c r="F36" s="276">
        <f t="shared" si="3"/>
        <v>14729433.2344</v>
      </c>
      <c r="G36" s="276">
        <f>-F36-J24</f>
        <v>-31279358.194400001</v>
      </c>
      <c r="H36" s="2011"/>
      <c r="I36" s="1080"/>
    </row>
    <row r="37" spans="1:10" ht="15">
      <c r="A37" s="2009">
        <v>2024</v>
      </c>
      <c r="B37" s="2010">
        <v>17</v>
      </c>
      <c r="C37" s="1079">
        <f t="shared" si="0"/>
        <v>33</v>
      </c>
      <c r="D37" s="276"/>
      <c r="E37" s="276">
        <f t="shared" si="4"/>
        <v>1456393398.48</v>
      </c>
      <c r="F37" s="276">
        <f t="shared" si="3"/>
        <v>14563933.9848</v>
      </c>
      <c r="G37" s="276">
        <f>-F37-J24</f>
        <v>-31113858.944800001</v>
      </c>
      <c r="H37" s="2011">
        <f>G37+G38</f>
        <v>-62062218.640000001</v>
      </c>
      <c r="I37" s="1080"/>
    </row>
    <row r="38" spans="1:10" ht="15">
      <c r="A38" s="2009"/>
      <c r="B38" s="2010"/>
      <c r="C38" s="1079">
        <f t="shared" si="0"/>
        <v>34</v>
      </c>
      <c r="D38" s="276"/>
      <c r="E38" s="276">
        <f t="shared" si="4"/>
        <v>1439843473.5200002</v>
      </c>
      <c r="F38" s="276">
        <f t="shared" si="3"/>
        <v>14398434.735200003</v>
      </c>
      <c r="G38" s="276">
        <f>-F38-J24</f>
        <v>-30948359.695200004</v>
      </c>
      <c r="H38" s="2011"/>
      <c r="I38" s="1080"/>
    </row>
    <row r="39" spans="1:10" ht="15">
      <c r="A39" s="2009">
        <v>2025</v>
      </c>
      <c r="B39" s="2010">
        <v>18</v>
      </c>
      <c r="C39" s="1079">
        <f t="shared" si="0"/>
        <v>35</v>
      </c>
      <c r="D39" s="276"/>
      <c r="E39" s="276">
        <f t="shared" si="4"/>
        <v>1423293548.5600002</v>
      </c>
      <c r="F39" s="276">
        <f t="shared" si="3"/>
        <v>14232935.485600002</v>
      </c>
      <c r="G39" s="276">
        <f>-F39-J24</f>
        <v>-30782860.445600003</v>
      </c>
      <c r="H39" s="2011">
        <f>G39+G40</f>
        <v>-61400221.641600005</v>
      </c>
      <c r="I39" s="1080"/>
    </row>
    <row r="40" spans="1:10" ht="15">
      <c r="A40" s="2009"/>
      <c r="B40" s="2010"/>
      <c r="C40" s="1079">
        <f t="shared" si="0"/>
        <v>36</v>
      </c>
      <c r="D40" s="276"/>
      <c r="E40" s="276">
        <f t="shared" si="4"/>
        <v>1406743623.6000001</v>
      </c>
      <c r="F40" s="276">
        <f t="shared" si="3"/>
        <v>14067436.236000001</v>
      </c>
      <c r="G40" s="276">
        <f>-F40-J24</f>
        <v>-30617361.196000002</v>
      </c>
      <c r="H40" s="2011"/>
      <c r="I40" s="1080"/>
    </row>
    <row r="41" spans="1:10" ht="15">
      <c r="A41" s="2009">
        <v>2026</v>
      </c>
      <c r="B41" s="2010">
        <v>19</v>
      </c>
      <c r="C41" s="1079">
        <f t="shared" si="0"/>
        <v>37</v>
      </c>
      <c r="D41" s="276"/>
      <c r="E41" s="276">
        <f t="shared" si="4"/>
        <v>1390193698.6400001</v>
      </c>
      <c r="F41" s="276">
        <f>E41*$I$5/2</f>
        <v>13901936.986400001</v>
      </c>
      <c r="G41" s="276">
        <f>-F41-J24</f>
        <v>-30451861.946400002</v>
      </c>
      <c r="H41" s="2011">
        <f>G41+G42</f>
        <v>-60738224.643200003</v>
      </c>
      <c r="I41" s="1080"/>
    </row>
    <row r="42" spans="1:10" ht="15">
      <c r="A42" s="2009"/>
      <c r="B42" s="2010"/>
      <c r="C42" s="1079">
        <f t="shared" si="0"/>
        <v>38</v>
      </c>
      <c r="D42" s="276"/>
      <c r="E42" s="276">
        <f t="shared" si="4"/>
        <v>1373643773.6800001</v>
      </c>
      <c r="F42" s="276">
        <f t="shared" si="3"/>
        <v>13736437.7368</v>
      </c>
      <c r="G42" s="276">
        <f>-F42-J24</f>
        <v>-30286362.696800001</v>
      </c>
      <c r="H42" s="2011"/>
      <c r="I42" s="1080"/>
    </row>
    <row r="43" spans="1:10" ht="15">
      <c r="A43" s="2009">
        <v>2027</v>
      </c>
      <c r="B43" s="2010">
        <v>20</v>
      </c>
      <c r="C43" s="1079">
        <f t="shared" si="0"/>
        <v>39</v>
      </c>
      <c r="D43" s="276"/>
      <c r="E43" s="276">
        <f t="shared" si="4"/>
        <v>1357093848.72</v>
      </c>
      <c r="F43" s="276">
        <f t="shared" si="3"/>
        <v>13570938.487200001</v>
      </c>
      <c r="G43" s="276">
        <f>-F43-J24</f>
        <v>-30120863.4472</v>
      </c>
      <c r="H43" s="2011">
        <f>G43+G44</f>
        <v>-60076227.6448</v>
      </c>
      <c r="I43" s="1080"/>
    </row>
    <row r="44" spans="1:10" ht="15">
      <c r="A44" s="2009"/>
      <c r="B44" s="2010"/>
      <c r="C44" s="1079">
        <f t="shared" si="0"/>
        <v>40</v>
      </c>
      <c r="D44" s="276"/>
      <c r="E44" s="276">
        <f t="shared" si="4"/>
        <v>1340543923.76</v>
      </c>
      <c r="F44" s="276">
        <f t="shared" si="3"/>
        <v>13405439.237600001</v>
      </c>
      <c r="G44" s="276">
        <f>-F44-J24</f>
        <v>-29955364.1976</v>
      </c>
      <c r="H44" s="2011"/>
      <c r="I44" s="1080"/>
    </row>
    <row r="45" spans="1:10" ht="15">
      <c r="A45" s="2009">
        <v>2028</v>
      </c>
      <c r="B45" s="2010">
        <v>21</v>
      </c>
      <c r="C45" s="1079">
        <f t="shared" si="0"/>
        <v>41</v>
      </c>
      <c r="D45" s="276"/>
      <c r="E45" s="276">
        <f t="shared" si="4"/>
        <v>1323993998.8000002</v>
      </c>
      <c r="F45" s="276">
        <f t="shared" si="3"/>
        <v>13239939.988000002</v>
      </c>
      <c r="G45" s="276">
        <f>-F45-J45</f>
        <v>-46339789.908000007</v>
      </c>
      <c r="H45" s="2011">
        <f>G45+G46</f>
        <v>-92348581.316800013</v>
      </c>
      <c r="I45" s="1080"/>
      <c r="J45" s="763">
        <v>33099849.920000002</v>
      </c>
    </row>
    <row r="46" spans="1:10" ht="15">
      <c r="A46" s="2009"/>
      <c r="B46" s="2010"/>
      <c r="C46" s="1079">
        <f t="shared" si="0"/>
        <v>42</v>
      </c>
      <c r="D46" s="276"/>
      <c r="E46" s="276">
        <f t="shared" si="4"/>
        <v>1290894148.8800001</v>
      </c>
      <c r="F46" s="276">
        <f t="shared" si="3"/>
        <v>12908941.488800002</v>
      </c>
      <c r="G46" s="276">
        <f>-F46-J45</f>
        <v>-46008791.408800006</v>
      </c>
      <c r="H46" s="2011"/>
      <c r="I46" s="1080"/>
    </row>
    <row r="47" spans="1:10" ht="15">
      <c r="A47" s="2009">
        <v>2029</v>
      </c>
      <c r="B47" s="2010">
        <v>22</v>
      </c>
      <c r="C47" s="1079">
        <f t="shared" si="0"/>
        <v>43</v>
      </c>
      <c r="D47" s="276"/>
      <c r="E47" s="276">
        <f t="shared" si="4"/>
        <v>1257794298.96</v>
      </c>
      <c r="F47" s="276">
        <f t="shared" si="3"/>
        <v>12577942.989600001</v>
      </c>
      <c r="G47" s="276">
        <f>-F47-J45</f>
        <v>-45677792.909600005</v>
      </c>
      <c r="H47" s="2011">
        <f>G47+G48</f>
        <v>-91024587.320000008</v>
      </c>
      <c r="I47" s="1080"/>
    </row>
    <row r="48" spans="1:10" ht="15">
      <c r="A48" s="2009"/>
      <c r="B48" s="2010"/>
      <c r="C48" s="1079">
        <f t="shared" si="0"/>
        <v>44</v>
      </c>
      <c r="D48" s="276"/>
      <c r="E48" s="276">
        <f t="shared" si="4"/>
        <v>1224694449.04</v>
      </c>
      <c r="F48" s="276">
        <f t="shared" si="3"/>
        <v>12246944.4904</v>
      </c>
      <c r="G48" s="276">
        <f>-F48-J45</f>
        <v>-45346794.410400003</v>
      </c>
      <c r="H48" s="2011"/>
      <c r="I48" s="1080"/>
    </row>
    <row r="49" spans="1:9" ht="15">
      <c r="A49" s="2009">
        <v>2030</v>
      </c>
      <c r="B49" s="2010">
        <v>23</v>
      </c>
      <c r="C49" s="1079">
        <f t="shared" si="0"/>
        <v>45</v>
      </c>
      <c r="D49" s="1079"/>
      <c r="E49" s="276">
        <f t="shared" si="4"/>
        <v>1191594599.1200001</v>
      </c>
      <c r="F49" s="276">
        <f t="shared" si="3"/>
        <v>11915945.991200002</v>
      </c>
      <c r="G49" s="276">
        <f>-F49-J45</f>
        <v>-45015795.911200002</v>
      </c>
      <c r="H49" s="2011">
        <f>G49+G50</f>
        <v>-89700593.323200002</v>
      </c>
      <c r="I49" s="1080"/>
    </row>
    <row r="50" spans="1:9" ht="15">
      <c r="A50" s="2009"/>
      <c r="B50" s="2010"/>
      <c r="C50" s="1079">
        <f t="shared" si="0"/>
        <v>46</v>
      </c>
      <c r="D50" s="1079"/>
      <c r="E50" s="276">
        <f t="shared" si="4"/>
        <v>1158494749.2</v>
      </c>
      <c r="F50" s="276">
        <f t="shared" si="3"/>
        <v>11584947.492000001</v>
      </c>
      <c r="G50" s="276">
        <f>-F50-J45</f>
        <v>-44684797.412</v>
      </c>
      <c r="H50" s="2011"/>
      <c r="I50" s="1080"/>
    </row>
    <row r="51" spans="1:9" ht="15">
      <c r="A51" s="2009">
        <v>2031</v>
      </c>
      <c r="B51" s="2010">
        <v>24</v>
      </c>
      <c r="C51" s="1079">
        <f t="shared" si="0"/>
        <v>47</v>
      </c>
      <c r="D51" s="276"/>
      <c r="E51" s="276">
        <f t="shared" si="4"/>
        <v>1125394899.2800002</v>
      </c>
      <c r="F51" s="276">
        <f t="shared" si="3"/>
        <v>11253948.992800003</v>
      </c>
      <c r="G51" s="276">
        <f>-F51-J45</f>
        <v>-44353798.912800007</v>
      </c>
      <c r="H51" s="2011">
        <f>G51+G52</f>
        <v>-88376599.326400012</v>
      </c>
      <c r="I51" s="1080"/>
    </row>
    <row r="52" spans="1:9" ht="15">
      <c r="A52" s="2009"/>
      <c r="B52" s="2010"/>
      <c r="C52" s="1079">
        <f t="shared" si="0"/>
        <v>48</v>
      </c>
      <c r="D52" s="276"/>
      <c r="E52" s="276">
        <f t="shared" si="4"/>
        <v>1092295049.3600001</v>
      </c>
      <c r="F52" s="276">
        <f t="shared" si="3"/>
        <v>10922950.493600002</v>
      </c>
      <c r="G52" s="276">
        <f>-F52-J45</f>
        <v>-44022800.413600005</v>
      </c>
      <c r="H52" s="2011"/>
      <c r="I52" s="1080"/>
    </row>
    <row r="53" spans="1:9" ht="15">
      <c r="A53" s="2009">
        <v>2032</v>
      </c>
      <c r="B53" s="2010">
        <v>25</v>
      </c>
      <c r="C53" s="1079">
        <f t="shared" si="0"/>
        <v>49</v>
      </c>
      <c r="D53" s="276"/>
      <c r="E53" s="276">
        <f t="shared" si="4"/>
        <v>1059195199.4400001</v>
      </c>
      <c r="F53" s="276">
        <f t="shared" si="3"/>
        <v>10591951.9944</v>
      </c>
      <c r="G53" s="276">
        <f>-F53-J45</f>
        <v>-43691801.914400004</v>
      </c>
      <c r="H53" s="2011">
        <f>G53+G54</f>
        <v>-87052605.329600006</v>
      </c>
      <c r="I53" s="1080"/>
    </row>
    <row r="54" spans="1:9" ht="15">
      <c r="A54" s="2009"/>
      <c r="B54" s="2010"/>
      <c r="C54" s="1079">
        <f t="shared" si="0"/>
        <v>50</v>
      </c>
      <c r="D54" s="276"/>
      <c r="E54" s="276">
        <f t="shared" si="4"/>
        <v>1026095349.5200001</v>
      </c>
      <c r="F54" s="276">
        <f t="shared" si="3"/>
        <v>10260953.495200001</v>
      </c>
      <c r="G54" s="276">
        <f>-F54-J45</f>
        <v>-43360803.415200002</v>
      </c>
      <c r="H54" s="2011"/>
      <c r="I54" s="1080"/>
    </row>
    <row r="55" spans="1:9" ht="15">
      <c r="A55" s="2009">
        <v>2033</v>
      </c>
      <c r="B55" s="2010">
        <v>26</v>
      </c>
      <c r="C55" s="1079">
        <f t="shared" si="0"/>
        <v>51</v>
      </c>
      <c r="D55" s="276"/>
      <c r="E55" s="276">
        <f t="shared" si="4"/>
        <v>992995499.60000014</v>
      </c>
      <c r="F55" s="276">
        <f t="shared" si="3"/>
        <v>9929954.9960000012</v>
      </c>
      <c r="G55" s="276">
        <f>-F55-J45</f>
        <v>-43029804.916000001</v>
      </c>
      <c r="H55" s="2011">
        <f>G55+G56</f>
        <v>-85728611.332800001</v>
      </c>
      <c r="I55" s="1080"/>
    </row>
    <row r="56" spans="1:9" ht="15">
      <c r="A56" s="2009"/>
      <c r="B56" s="2010"/>
      <c r="C56" s="1079">
        <f t="shared" si="0"/>
        <v>52</v>
      </c>
      <c r="D56" s="276"/>
      <c r="E56" s="276">
        <f t="shared" si="4"/>
        <v>959895649.68000019</v>
      </c>
      <c r="F56" s="276">
        <f t="shared" si="3"/>
        <v>9598956.4968000017</v>
      </c>
      <c r="G56" s="276">
        <f>-F56-J45</f>
        <v>-42698806.416800007</v>
      </c>
      <c r="H56" s="2011"/>
      <c r="I56" s="1080"/>
    </row>
    <row r="57" spans="1:9" ht="15">
      <c r="A57" s="2009">
        <v>2034</v>
      </c>
      <c r="B57" s="2010">
        <v>27</v>
      </c>
      <c r="C57" s="1079">
        <f t="shared" si="0"/>
        <v>53</v>
      </c>
      <c r="D57" s="276"/>
      <c r="E57" s="276">
        <f t="shared" si="4"/>
        <v>926795799.76000011</v>
      </c>
      <c r="F57" s="276">
        <f t="shared" si="3"/>
        <v>9267957.9976000022</v>
      </c>
      <c r="G57" s="276">
        <f>-F57-J45</f>
        <v>-42367807.917600006</v>
      </c>
      <c r="H57" s="2011">
        <f>G57+G58</f>
        <v>-84404617.33600001</v>
      </c>
      <c r="I57" s="1080"/>
    </row>
    <row r="58" spans="1:9" ht="15">
      <c r="A58" s="2009"/>
      <c r="B58" s="2010"/>
      <c r="C58" s="1079">
        <f t="shared" si="0"/>
        <v>54</v>
      </c>
      <c r="D58" s="276"/>
      <c r="E58" s="276">
        <f t="shared" si="4"/>
        <v>893695949.84000003</v>
      </c>
      <c r="F58" s="276">
        <f t="shared" si="3"/>
        <v>8936959.4984000009</v>
      </c>
      <c r="G58" s="276">
        <f>-F58-J45</f>
        <v>-42036809.418400005</v>
      </c>
      <c r="H58" s="2011"/>
      <c r="I58" s="1080"/>
    </row>
    <row r="59" spans="1:9" ht="15">
      <c r="A59" s="2009">
        <v>2035</v>
      </c>
      <c r="B59" s="2010">
        <v>28</v>
      </c>
      <c r="C59" s="1079">
        <f t="shared" si="0"/>
        <v>55</v>
      </c>
      <c r="D59" s="276"/>
      <c r="E59" s="276">
        <f t="shared" si="4"/>
        <v>860596099.91999996</v>
      </c>
      <c r="F59" s="276">
        <f t="shared" si="3"/>
        <v>8605960.9991999995</v>
      </c>
      <c r="G59" s="276">
        <f>-F59-J45</f>
        <v>-41705810.919200003</v>
      </c>
      <c r="H59" s="2011">
        <f>G59+G60</f>
        <v>-83080623.339200005</v>
      </c>
      <c r="I59" s="1080"/>
    </row>
    <row r="60" spans="1:9" ht="15">
      <c r="A60" s="2009"/>
      <c r="B60" s="2010"/>
      <c r="C60" s="1079">
        <f t="shared" si="0"/>
        <v>56</v>
      </c>
      <c r="D60" s="276"/>
      <c r="E60" s="276">
        <f t="shared" si="4"/>
        <v>827496250</v>
      </c>
      <c r="F60" s="276">
        <f t="shared" si="3"/>
        <v>8274962.5</v>
      </c>
      <c r="G60" s="276">
        <f>-F60-J45</f>
        <v>-41374812.420000002</v>
      </c>
      <c r="H60" s="2011"/>
      <c r="I60" s="1080"/>
    </row>
    <row r="61" spans="1:9" ht="15">
      <c r="A61" s="2009">
        <v>2036</v>
      </c>
      <c r="B61" s="2010">
        <v>29</v>
      </c>
      <c r="C61" s="1079">
        <f t="shared" si="0"/>
        <v>57</v>
      </c>
      <c r="D61" s="276"/>
      <c r="E61" s="276">
        <f t="shared" si="4"/>
        <v>794396400.08000004</v>
      </c>
      <c r="F61" s="276">
        <f t="shared" si="3"/>
        <v>7943964.0008000005</v>
      </c>
      <c r="G61" s="276">
        <f>-F61-J45</f>
        <v>-41043813.9208</v>
      </c>
      <c r="H61" s="2011">
        <f>G61+G62</f>
        <v>-81756629.342399999</v>
      </c>
      <c r="I61" s="1080"/>
    </row>
    <row r="62" spans="1:9" ht="15">
      <c r="A62" s="2009"/>
      <c r="B62" s="2010"/>
      <c r="C62" s="1079">
        <f t="shared" si="0"/>
        <v>58</v>
      </c>
      <c r="D62" s="276"/>
      <c r="E62" s="276">
        <f t="shared" si="4"/>
        <v>761296550.16000009</v>
      </c>
      <c r="F62" s="276">
        <f t="shared" si="3"/>
        <v>7612965.501600001</v>
      </c>
      <c r="G62" s="276">
        <f>-F62-J45</f>
        <v>-40712815.421599999</v>
      </c>
      <c r="H62" s="2011"/>
      <c r="I62" s="1080"/>
    </row>
    <row r="63" spans="1:9" ht="15">
      <c r="A63" s="2009">
        <v>2037</v>
      </c>
      <c r="B63" s="2010">
        <v>30</v>
      </c>
      <c r="C63" s="1079">
        <f t="shared" si="0"/>
        <v>59</v>
      </c>
      <c r="D63" s="276"/>
      <c r="E63" s="276">
        <f t="shared" si="4"/>
        <v>728196700.24000013</v>
      </c>
      <c r="F63" s="276">
        <f t="shared" si="3"/>
        <v>7281967.0024000015</v>
      </c>
      <c r="G63" s="276">
        <f>-F63-J45</f>
        <v>-40381816.922400005</v>
      </c>
      <c r="H63" s="2011">
        <f>G63+G64</f>
        <v>-80432635.345600009</v>
      </c>
      <c r="I63" s="1080"/>
    </row>
    <row r="64" spans="1:9" ht="15">
      <c r="A64" s="2009"/>
      <c r="B64" s="2010"/>
      <c r="C64" s="1079">
        <f t="shared" si="0"/>
        <v>60</v>
      </c>
      <c r="D64" s="276"/>
      <c r="E64" s="276">
        <f t="shared" si="4"/>
        <v>695096850.32000017</v>
      </c>
      <c r="F64" s="276">
        <f t="shared" si="3"/>
        <v>6950968.503200002</v>
      </c>
      <c r="G64" s="276">
        <f>-F64-J45</f>
        <v>-40050818.423200004</v>
      </c>
      <c r="H64" s="2011"/>
      <c r="I64" s="1080"/>
    </row>
    <row r="65" spans="1:9" ht="15">
      <c r="A65" s="2009">
        <v>2038</v>
      </c>
      <c r="B65" s="2010">
        <v>31</v>
      </c>
      <c r="C65" s="1079">
        <f t="shared" si="0"/>
        <v>61</v>
      </c>
      <c r="D65" s="276"/>
      <c r="E65" s="276">
        <f t="shared" si="4"/>
        <v>661997000.40000021</v>
      </c>
      <c r="F65" s="276">
        <f t="shared" si="3"/>
        <v>6619970.0040000025</v>
      </c>
      <c r="G65" s="276">
        <f>-F65-J45</f>
        <v>-39719819.924000002</v>
      </c>
      <c r="H65" s="2011">
        <f>G65+G66</f>
        <v>-79108641.348800004</v>
      </c>
      <c r="I65" s="1080"/>
    </row>
    <row r="66" spans="1:9" ht="15">
      <c r="A66" s="2009"/>
      <c r="B66" s="2010"/>
      <c r="C66" s="1079">
        <f t="shared" si="0"/>
        <v>62</v>
      </c>
      <c r="D66" s="276"/>
      <c r="E66" s="276">
        <f t="shared" si="4"/>
        <v>628897150.48000014</v>
      </c>
      <c r="F66" s="276">
        <f t="shared" si="3"/>
        <v>6288971.5048000012</v>
      </c>
      <c r="G66" s="276">
        <f>-F66-J45</f>
        <v>-39388821.424800001</v>
      </c>
      <c r="H66" s="2011"/>
      <c r="I66" s="1080"/>
    </row>
    <row r="67" spans="1:9" ht="15">
      <c r="A67" s="2009">
        <v>2039</v>
      </c>
      <c r="B67" s="2010">
        <v>32</v>
      </c>
      <c r="C67" s="1079">
        <f t="shared" si="0"/>
        <v>63</v>
      </c>
      <c r="D67" s="276"/>
      <c r="E67" s="276">
        <f t="shared" si="4"/>
        <v>595797300.56000006</v>
      </c>
      <c r="F67" s="276">
        <f t="shared" si="3"/>
        <v>5957973.0056000007</v>
      </c>
      <c r="G67" s="276">
        <f>-F67-J45</f>
        <v>-39057822.9256</v>
      </c>
      <c r="H67" s="2011">
        <f>G67+G68</f>
        <v>-77784647.351999998</v>
      </c>
      <c r="I67" s="1080"/>
    </row>
    <row r="68" spans="1:9" ht="15">
      <c r="A68" s="2009"/>
      <c r="B68" s="2010"/>
      <c r="C68" s="1079">
        <f t="shared" si="0"/>
        <v>64</v>
      </c>
      <c r="D68" s="276"/>
      <c r="E68" s="276">
        <f t="shared" si="4"/>
        <v>562697450.63999999</v>
      </c>
      <c r="F68" s="276">
        <f t="shared" si="3"/>
        <v>5626974.5064000003</v>
      </c>
      <c r="G68" s="276">
        <f>-F68-J45</f>
        <v>-38726824.426400006</v>
      </c>
      <c r="H68" s="2011"/>
      <c r="I68" s="1080"/>
    </row>
    <row r="69" spans="1:9" ht="15">
      <c r="A69" s="2009">
        <v>2040</v>
      </c>
      <c r="B69" s="2010">
        <v>33</v>
      </c>
      <c r="C69" s="1079">
        <f t="shared" si="0"/>
        <v>65</v>
      </c>
      <c r="D69" s="276"/>
      <c r="E69" s="276">
        <f t="shared" si="4"/>
        <v>529597600.71999997</v>
      </c>
      <c r="F69" s="276">
        <f t="shared" si="3"/>
        <v>5295976.0071999999</v>
      </c>
      <c r="G69" s="276">
        <f>-F69-J45</f>
        <v>-38395825.927200004</v>
      </c>
      <c r="H69" s="2011">
        <f>G69+G70</f>
        <v>-76460653.355200008</v>
      </c>
      <c r="I69" s="1080"/>
    </row>
    <row r="70" spans="1:9" ht="15">
      <c r="A70" s="2009"/>
      <c r="B70" s="2010"/>
      <c r="C70" s="1079">
        <f t="shared" ref="C70:C86" si="5">C69+1</f>
        <v>66</v>
      </c>
      <c r="D70" s="276"/>
      <c r="E70" s="276">
        <f t="shared" si="4"/>
        <v>496497750.79999995</v>
      </c>
      <c r="F70" s="276">
        <f t="shared" si="3"/>
        <v>4964977.5079999994</v>
      </c>
      <c r="G70" s="276">
        <f>-F70-J45</f>
        <v>-38064827.428000003</v>
      </c>
      <c r="H70" s="2011"/>
      <c r="I70" s="1080"/>
    </row>
    <row r="71" spans="1:9" ht="15">
      <c r="A71" s="2009">
        <v>2041</v>
      </c>
      <c r="B71" s="2010">
        <v>34</v>
      </c>
      <c r="C71" s="1079">
        <f t="shared" si="5"/>
        <v>67</v>
      </c>
      <c r="D71" s="276"/>
      <c r="E71" s="276">
        <f t="shared" si="4"/>
        <v>463397900.88</v>
      </c>
      <c r="F71" s="276">
        <f t="shared" si="3"/>
        <v>4633979.0088</v>
      </c>
      <c r="G71" s="276">
        <f>-F71-J45</f>
        <v>-37733828.928800002</v>
      </c>
      <c r="H71" s="2011">
        <f>G71+G72</f>
        <v>-75136659.358400002</v>
      </c>
      <c r="I71" s="1080"/>
    </row>
    <row r="72" spans="1:9" ht="15">
      <c r="A72" s="2009"/>
      <c r="B72" s="2010"/>
      <c r="C72" s="1079">
        <f t="shared" si="5"/>
        <v>68</v>
      </c>
      <c r="D72" s="276"/>
      <c r="E72" s="276">
        <f t="shared" si="4"/>
        <v>430298050.96000004</v>
      </c>
      <c r="F72" s="276">
        <f t="shared" si="3"/>
        <v>4302980.5096000005</v>
      </c>
      <c r="G72" s="276">
        <f>-F72-J45</f>
        <v>-37402830.4296</v>
      </c>
      <c r="H72" s="2011"/>
      <c r="I72" s="1080"/>
    </row>
    <row r="73" spans="1:9" ht="15">
      <c r="A73" s="2009">
        <v>2042</v>
      </c>
      <c r="B73" s="2010">
        <v>35</v>
      </c>
      <c r="C73" s="1079">
        <f t="shared" si="5"/>
        <v>69</v>
      </c>
      <c r="D73" s="276"/>
      <c r="E73" s="276">
        <f t="shared" si="4"/>
        <v>397198201.04000002</v>
      </c>
      <c r="F73" s="276">
        <f t="shared" si="3"/>
        <v>3971982.0104000005</v>
      </c>
      <c r="G73" s="276">
        <f>-F73-J45</f>
        <v>-37071831.930399999</v>
      </c>
      <c r="H73" s="2011">
        <f>G73+G74</f>
        <v>-73812665.361600012</v>
      </c>
      <c r="I73" s="1080"/>
    </row>
    <row r="74" spans="1:9" ht="15">
      <c r="A74" s="2009"/>
      <c r="B74" s="2010"/>
      <c r="C74" s="1079">
        <f t="shared" si="5"/>
        <v>70</v>
      </c>
      <c r="D74" s="276"/>
      <c r="E74" s="276">
        <f t="shared" si="4"/>
        <v>364098351.12</v>
      </c>
      <c r="F74" s="276">
        <f t="shared" ref="F74:F86" si="6">E74*$I$5/2</f>
        <v>3640983.5112000001</v>
      </c>
      <c r="G74" s="276">
        <f>-F74-J45</f>
        <v>-36740833.431200005</v>
      </c>
      <c r="H74" s="2011"/>
      <c r="I74" s="1080"/>
    </row>
    <row r="75" spans="1:9" ht="15">
      <c r="A75" s="2009">
        <v>2043</v>
      </c>
      <c r="B75" s="2010">
        <v>36</v>
      </c>
      <c r="C75" s="1079">
        <f t="shared" si="5"/>
        <v>71</v>
      </c>
      <c r="D75" s="276"/>
      <c r="E75" s="276">
        <f t="shared" si="4"/>
        <v>330998501.19999999</v>
      </c>
      <c r="F75" s="276">
        <f t="shared" si="6"/>
        <v>3309985.0120000001</v>
      </c>
      <c r="G75" s="276">
        <f>-F75-J45</f>
        <v>-36409834.932000004</v>
      </c>
      <c r="H75" s="2011">
        <f>G75+G76</f>
        <v>-72488671.364800006</v>
      </c>
      <c r="I75" s="1080"/>
    </row>
    <row r="76" spans="1:9" ht="15">
      <c r="A76" s="2009"/>
      <c r="B76" s="2010"/>
      <c r="C76" s="1079">
        <f t="shared" si="5"/>
        <v>72</v>
      </c>
      <c r="D76" s="276"/>
      <c r="E76" s="276">
        <f t="shared" si="4"/>
        <v>297898651.28000003</v>
      </c>
      <c r="F76" s="276">
        <f t="shared" si="6"/>
        <v>2978986.5128000001</v>
      </c>
      <c r="G76" s="276">
        <f>-F76-J45</f>
        <v>-36078836.432800002</v>
      </c>
      <c r="H76" s="2011"/>
      <c r="I76" s="1080"/>
    </row>
    <row r="77" spans="1:9" ht="15">
      <c r="A77" s="2009">
        <v>2044</v>
      </c>
      <c r="B77" s="2010">
        <v>37</v>
      </c>
      <c r="C77" s="1079">
        <f t="shared" si="5"/>
        <v>73</v>
      </c>
      <c r="D77" s="276"/>
      <c r="E77" s="276">
        <f t="shared" si="4"/>
        <v>264798801.36000001</v>
      </c>
      <c r="F77" s="276">
        <f t="shared" si="6"/>
        <v>2647988.0136000002</v>
      </c>
      <c r="G77" s="276">
        <f>-F77-J45</f>
        <v>-35747837.933600001</v>
      </c>
      <c r="H77" s="2011">
        <f>G77+G78</f>
        <v>-71164677.368000001</v>
      </c>
      <c r="I77" s="1080"/>
    </row>
    <row r="78" spans="1:9" ht="15">
      <c r="A78" s="2009"/>
      <c r="B78" s="2010"/>
      <c r="C78" s="1079">
        <f t="shared" si="5"/>
        <v>74</v>
      </c>
      <c r="D78" s="276"/>
      <c r="E78" s="276">
        <f t="shared" si="4"/>
        <v>231698951.44</v>
      </c>
      <c r="F78" s="276">
        <f t="shared" si="6"/>
        <v>2316989.5144000002</v>
      </c>
      <c r="G78" s="276">
        <f>-F78-J45</f>
        <v>-35416839.4344</v>
      </c>
      <c r="H78" s="2011"/>
      <c r="I78" s="1080"/>
    </row>
    <row r="79" spans="1:9" ht="15">
      <c r="A79" s="2009">
        <v>2045</v>
      </c>
      <c r="B79" s="2010">
        <v>38</v>
      </c>
      <c r="C79" s="1079">
        <f t="shared" si="5"/>
        <v>75</v>
      </c>
      <c r="D79" s="276"/>
      <c r="E79" s="276">
        <f t="shared" si="4"/>
        <v>198599101.52000001</v>
      </c>
      <c r="F79" s="276">
        <f t="shared" si="6"/>
        <v>1985991.0152000003</v>
      </c>
      <c r="G79" s="276">
        <f>-F79-J45</f>
        <v>-35085840.935200006</v>
      </c>
      <c r="H79" s="2011">
        <f>G79+G80</f>
        <v>-69840683.37120001</v>
      </c>
      <c r="I79" s="1080"/>
    </row>
    <row r="80" spans="1:9" ht="15">
      <c r="A80" s="2009"/>
      <c r="B80" s="2010"/>
      <c r="C80" s="1079">
        <f t="shared" si="5"/>
        <v>76</v>
      </c>
      <c r="D80" s="276"/>
      <c r="E80" s="276">
        <f t="shared" si="4"/>
        <v>165499251.59999999</v>
      </c>
      <c r="F80" s="276">
        <f t="shared" si="6"/>
        <v>1654992.5160000001</v>
      </c>
      <c r="G80" s="276">
        <f>-F80-J45</f>
        <v>-34754842.436000004</v>
      </c>
      <c r="H80" s="2011"/>
      <c r="I80" s="1080"/>
    </row>
    <row r="81" spans="1:43" ht="15">
      <c r="A81" s="2009">
        <v>2046</v>
      </c>
      <c r="B81" s="2010">
        <v>39</v>
      </c>
      <c r="C81" s="1079">
        <f t="shared" si="5"/>
        <v>77</v>
      </c>
      <c r="D81" s="276"/>
      <c r="E81" s="276">
        <f t="shared" si="4"/>
        <v>132399401.67999999</v>
      </c>
      <c r="F81" s="276">
        <f t="shared" si="6"/>
        <v>1323994.0167999999</v>
      </c>
      <c r="G81" s="276">
        <f>-F81-J45</f>
        <v>-34423843.936800003</v>
      </c>
      <c r="H81" s="2011">
        <f>G81+G82</f>
        <v>-68516689.374400005</v>
      </c>
      <c r="I81" s="1080"/>
    </row>
    <row r="82" spans="1:43" ht="15">
      <c r="A82" s="2009"/>
      <c r="B82" s="2010"/>
      <c r="C82" s="1079">
        <f t="shared" si="5"/>
        <v>78</v>
      </c>
      <c r="D82" s="276"/>
      <c r="E82" s="276">
        <f t="shared" si="4"/>
        <v>99299551.75999999</v>
      </c>
      <c r="F82" s="276">
        <f t="shared" si="6"/>
        <v>992995.5175999999</v>
      </c>
      <c r="G82" s="276">
        <f>-F82-J45</f>
        <v>-34092845.437600002</v>
      </c>
      <c r="H82" s="2011"/>
      <c r="I82" s="1080"/>
    </row>
    <row r="83" spans="1:43" ht="15">
      <c r="A83" s="2009">
        <v>2047</v>
      </c>
      <c r="B83" s="2010">
        <v>40</v>
      </c>
      <c r="C83" s="1079">
        <f t="shared" si="5"/>
        <v>79</v>
      </c>
      <c r="D83" s="276"/>
      <c r="E83" s="276">
        <f t="shared" si="4"/>
        <v>66199701.839999989</v>
      </c>
      <c r="F83" s="276">
        <f t="shared" si="6"/>
        <v>661997.01839999994</v>
      </c>
      <c r="G83" s="276">
        <f>-F83-J45</f>
        <v>-33761846.9384</v>
      </c>
      <c r="H83" s="2011">
        <f>G83+G84</f>
        <v>-67192695.377599999</v>
      </c>
      <c r="I83" s="1080"/>
    </row>
    <row r="84" spans="1:43" ht="15">
      <c r="A84" s="2009"/>
      <c r="B84" s="2010"/>
      <c r="C84" s="1079">
        <f t="shared" si="5"/>
        <v>80</v>
      </c>
      <c r="D84" s="276"/>
      <c r="E84" s="276">
        <f>D84+E83+F83+G83</f>
        <v>33099851.919999987</v>
      </c>
      <c r="F84" s="276">
        <f t="shared" si="6"/>
        <v>330998.51919999986</v>
      </c>
      <c r="G84" s="276">
        <f>-F84-J45</f>
        <v>-33430848.439200003</v>
      </c>
      <c r="H84" s="2011"/>
      <c r="I84" s="1080"/>
    </row>
    <row r="85" spans="1:43" ht="15">
      <c r="A85" s="2009">
        <v>2048</v>
      </c>
      <c r="B85" s="2010">
        <v>41</v>
      </c>
      <c r="C85" s="1079">
        <f t="shared" si="5"/>
        <v>81</v>
      </c>
      <c r="D85" s="276"/>
      <c r="E85" s="276">
        <f>D85+E84+F84+G84</f>
        <v>1.9999999850988388</v>
      </c>
      <c r="F85" s="276">
        <f t="shared" si="6"/>
        <v>1.9999999850988388E-2</v>
      </c>
      <c r="G85" s="276">
        <f>-F85-J46</f>
        <v>-1.9999999850988388E-2</v>
      </c>
      <c r="H85" s="2011">
        <f>G85+G86</f>
        <v>-3.9999999701976777E-2</v>
      </c>
      <c r="I85" s="1080"/>
    </row>
    <row r="86" spans="1:43" ht="15">
      <c r="A86" s="2009"/>
      <c r="B86" s="2010"/>
      <c r="C86" s="1079">
        <f t="shared" si="5"/>
        <v>82</v>
      </c>
      <c r="D86" s="276"/>
      <c r="E86" s="276">
        <f>D86+E85+F85+G85</f>
        <v>1.999999985098839</v>
      </c>
      <c r="F86" s="276">
        <f t="shared" si="6"/>
        <v>1.9999999850988392E-2</v>
      </c>
      <c r="G86" s="276">
        <f>-F86-J47</f>
        <v>-1.9999999850988392E-2</v>
      </c>
      <c r="H86" s="2011"/>
      <c r="I86" s="1080"/>
    </row>
    <row r="87" spans="1:43" ht="13.5" thickBot="1">
      <c r="A87" s="1086"/>
      <c r="B87" s="777"/>
      <c r="C87" s="777"/>
      <c r="D87" s="777"/>
      <c r="E87" s="777"/>
      <c r="F87" s="777"/>
      <c r="G87" s="777"/>
      <c r="H87" s="777"/>
      <c r="I87" s="781"/>
    </row>
    <row r="89" spans="1:43" s="1088" customFormat="1">
      <c r="A89" s="1087">
        <v>2008</v>
      </c>
      <c r="B89" s="1087">
        <f>A89+1</f>
        <v>2009</v>
      </c>
      <c r="C89" s="1087">
        <f>B89+1</f>
        <v>2010</v>
      </c>
      <c r="D89" s="1087">
        <f t="shared" ref="D89:AK89" si="7">C89+1</f>
        <v>2011</v>
      </c>
      <c r="E89" s="1087">
        <f t="shared" si="7"/>
        <v>2012</v>
      </c>
      <c r="F89" s="1087">
        <f t="shared" si="7"/>
        <v>2013</v>
      </c>
      <c r="G89" s="1087">
        <f t="shared" si="7"/>
        <v>2014</v>
      </c>
      <c r="H89" s="1087">
        <f t="shared" si="7"/>
        <v>2015</v>
      </c>
      <c r="I89" s="1087">
        <f t="shared" si="7"/>
        <v>2016</v>
      </c>
      <c r="J89" s="1087">
        <f t="shared" si="7"/>
        <v>2017</v>
      </c>
      <c r="K89" s="1087">
        <f t="shared" si="7"/>
        <v>2018</v>
      </c>
      <c r="L89" s="1087">
        <f t="shared" si="7"/>
        <v>2019</v>
      </c>
      <c r="M89" s="1087">
        <f t="shared" si="7"/>
        <v>2020</v>
      </c>
      <c r="N89" s="1087">
        <f t="shared" si="7"/>
        <v>2021</v>
      </c>
      <c r="O89" s="1087">
        <f t="shared" si="7"/>
        <v>2022</v>
      </c>
      <c r="P89" s="1087">
        <f t="shared" si="7"/>
        <v>2023</v>
      </c>
      <c r="Q89" s="1087">
        <f t="shared" si="7"/>
        <v>2024</v>
      </c>
      <c r="R89" s="1087">
        <f t="shared" si="7"/>
        <v>2025</v>
      </c>
      <c r="S89" s="1087">
        <f t="shared" si="7"/>
        <v>2026</v>
      </c>
      <c r="T89" s="1087">
        <f t="shared" si="7"/>
        <v>2027</v>
      </c>
      <c r="U89" s="1087">
        <f t="shared" si="7"/>
        <v>2028</v>
      </c>
      <c r="V89" s="1087">
        <f t="shared" si="7"/>
        <v>2029</v>
      </c>
      <c r="W89" s="1087">
        <f t="shared" si="7"/>
        <v>2030</v>
      </c>
      <c r="X89" s="1087">
        <f t="shared" si="7"/>
        <v>2031</v>
      </c>
      <c r="Y89" s="1087">
        <f t="shared" si="7"/>
        <v>2032</v>
      </c>
      <c r="Z89" s="1087">
        <f t="shared" si="7"/>
        <v>2033</v>
      </c>
      <c r="AA89" s="1087">
        <f t="shared" si="7"/>
        <v>2034</v>
      </c>
      <c r="AB89" s="1087">
        <f t="shared" si="7"/>
        <v>2035</v>
      </c>
      <c r="AC89" s="1087">
        <f t="shared" si="7"/>
        <v>2036</v>
      </c>
      <c r="AD89" s="1087">
        <f t="shared" si="7"/>
        <v>2037</v>
      </c>
      <c r="AE89" s="1087">
        <f t="shared" si="7"/>
        <v>2038</v>
      </c>
      <c r="AF89" s="1087">
        <f t="shared" si="7"/>
        <v>2039</v>
      </c>
      <c r="AG89" s="1087">
        <f t="shared" si="7"/>
        <v>2040</v>
      </c>
      <c r="AH89" s="1087">
        <f t="shared" si="7"/>
        <v>2041</v>
      </c>
      <c r="AI89" s="1087">
        <f t="shared" si="7"/>
        <v>2042</v>
      </c>
      <c r="AJ89" s="1087">
        <f t="shared" si="7"/>
        <v>2043</v>
      </c>
      <c r="AK89" s="1087">
        <f t="shared" si="7"/>
        <v>2044</v>
      </c>
      <c r="AL89" s="1087">
        <f>AK89+1</f>
        <v>2045</v>
      </c>
      <c r="AM89" s="1087">
        <f>AL89+1</f>
        <v>2046</v>
      </c>
      <c r="AN89" s="1087">
        <f>AM89+1</f>
        <v>2047</v>
      </c>
      <c r="AO89" s="1087">
        <f>AN89+1</f>
        <v>2048</v>
      </c>
      <c r="AP89" s="763"/>
      <c r="AQ89" s="763"/>
    </row>
    <row r="90" spans="1:43" s="1088" customFormat="1">
      <c r="A90" s="1089" t="s">
        <v>504</v>
      </c>
      <c r="B90" s="1089" t="s">
        <v>505</v>
      </c>
      <c r="C90" s="1089" t="s">
        <v>505</v>
      </c>
      <c r="D90" s="1089" t="s">
        <v>505</v>
      </c>
      <c r="E90" s="1089" t="s">
        <v>505</v>
      </c>
      <c r="F90" s="1089" t="s">
        <v>505</v>
      </c>
      <c r="G90" s="1089" t="s">
        <v>505</v>
      </c>
      <c r="H90" s="1089" t="s">
        <v>505</v>
      </c>
      <c r="I90" s="1089" t="s">
        <v>505</v>
      </c>
      <c r="J90" s="1089" t="s">
        <v>505</v>
      </c>
      <c r="K90" s="1089" t="s">
        <v>505</v>
      </c>
      <c r="L90" s="1089" t="s">
        <v>505</v>
      </c>
      <c r="M90" s="1089" t="s">
        <v>505</v>
      </c>
      <c r="N90" s="1089" t="s">
        <v>505</v>
      </c>
      <c r="O90" s="1089" t="s">
        <v>505</v>
      </c>
      <c r="P90" s="1089" t="s">
        <v>505</v>
      </c>
      <c r="Q90" s="1089" t="s">
        <v>505</v>
      </c>
      <c r="R90" s="1089" t="s">
        <v>505</v>
      </c>
      <c r="S90" s="1089" t="s">
        <v>505</v>
      </c>
      <c r="T90" s="1089" t="s">
        <v>505</v>
      </c>
      <c r="U90" s="1089" t="s">
        <v>505</v>
      </c>
      <c r="V90" s="1089" t="s">
        <v>505</v>
      </c>
      <c r="W90" s="1089" t="s">
        <v>505</v>
      </c>
      <c r="X90" s="1089" t="s">
        <v>505</v>
      </c>
      <c r="Y90" s="1089" t="s">
        <v>505</v>
      </c>
      <c r="Z90" s="1089" t="s">
        <v>505</v>
      </c>
      <c r="AA90" s="1089" t="s">
        <v>505</v>
      </c>
      <c r="AB90" s="1089" t="s">
        <v>505</v>
      </c>
      <c r="AC90" s="1089" t="s">
        <v>505</v>
      </c>
      <c r="AD90" s="1089" t="s">
        <v>505</v>
      </c>
      <c r="AE90" s="1089" t="s">
        <v>505</v>
      </c>
      <c r="AF90" s="1089" t="s">
        <v>505</v>
      </c>
      <c r="AG90" s="1089" t="s">
        <v>505</v>
      </c>
      <c r="AH90" s="1089" t="s">
        <v>505</v>
      </c>
      <c r="AI90" s="1089" t="s">
        <v>505</v>
      </c>
      <c r="AJ90" s="1089" t="s">
        <v>505</v>
      </c>
      <c r="AK90" s="1089" t="s">
        <v>505</v>
      </c>
      <c r="AL90" s="1089" t="s">
        <v>505</v>
      </c>
      <c r="AM90" s="1089" t="s">
        <v>505</v>
      </c>
      <c r="AN90" s="1089" t="s">
        <v>505</v>
      </c>
      <c r="AO90" s="1089" t="s">
        <v>505</v>
      </c>
      <c r="AP90" s="763"/>
      <c r="AQ90" s="763"/>
    </row>
    <row r="91" spans="1:43" s="1091" customFormat="1" ht="11.25">
      <c r="A91" s="1090">
        <f>H5</f>
        <v>0</v>
      </c>
      <c r="B91" s="1090">
        <f>H7</f>
        <v>0</v>
      </c>
      <c r="C91" s="1090">
        <f>H9</f>
        <v>-4094190.4200000004</v>
      </c>
      <c r="D91" s="1090">
        <f>H11</f>
        <v>-11600206.190000001</v>
      </c>
      <c r="E91" s="1090">
        <f>H13</f>
        <v>-17442628.190000001</v>
      </c>
      <c r="F91" s="1090">
        <f>H15</f>
        <v>-22503063.91</v>
      </c>
      <c r="G91" s="1090">
        <f>H17</f>
        <v>-27267551.760000002</v>
      </c>
      <c r="H91" s="1090">
        <f>H19</f>
        <v>-31933390.32</v>
      </c>
      <c r="I91" s="1090">
        <f>H21</f>
        <v>-33099849.960000001</v>
      </c>
      <c r="J91" s="1090">
        <f>H23</f>
        <v>-33099849.960000001</v>
      </c>
      <c r="K91" s="1090">
        <f>H25</f>
        <v>-66034200.630400002</v>
      </c>
      <c r="L91" s="1090">
        <f>H27</f>
        <v>-65372203.632000007</v>
      </c>
      <c r="M91" s="1090">
        <f>H29</f>
        <v>-64710206.633600004</v>
      </c>
      <c r="N91" s="1090">
        <f>H31</f>
        <v>-64048209.635200009</v>
      </c>
      <c r="O91" s="1090">
        <f>H33</f>
        <v>-63386212.636800006</v>
      </c>
      <c r="P91" s="1090">
        <f>H35</f>
        <v>-62724215.638400003</v>
      </c>
      <c r="Q91" s="1090">
        <f>H37</f>
        <v>-62062218.640000001</v>
      </c>
      <c r="R91" s="1090">
        <f>H39</f>
        <v>-61400221.641600005</v>
      </c>
      <c r="S91" s="1090">
        <f>H41</f>
        <v>-60738224.643200003</v>
      </c>
      <c r="T91" s="1090">
        <f>H43</f>
        <v>-60076227.6448</v>
      </c>
      <c r="U91" s="1090">
        <f>H45</f>
        <v>-92348581.316800013</v>
      </c>
      <c r="V91" s="1090">
        <f>H47</f>
        <v>-91024587.320000008</v>
      </c>
      <c r="W91" s="1090">
        <f>H49</f>
        <v>-89700593.323200002</v>
      </c>
      <c r="X91" s="1090">
        <f>H51</f>
        <v>-88376599.326400012</v>
      </c>
      <c r="Y91" s="1090">
        <f>H53</f>
        <v>-87052605.329600006</v>
      </c>
      <c r="Z91" s="1090">
        <f>H55</f>
        <v>-85728611.332800001</v>
      </c>
      <c r="AA91" s="1090">
        <f>H57</f>
        <v>-84404617.33600001</v>
      </c>
      <c r="AB91" s="1090">
        <f>H59</f>
        <v>-83080623.339200005</v>
      </c>
      <c r="AC91" s="1090">
        <f>H61</f>
        <v>-81756629.342399999</v>
      </c>
      <c r="AD91" s="1090">
        <f>H63</f>
        <v>-80432635.345600009</v>
      </c>
      <c r="AE91" s="1090">
        <f>H65</f>
        <v>-79108641.348800004</v>
      </c>
      <c r="AF91" s="1090">
        <f>H67</f>
        <v>-77784647.351999998</v>
      </c>
      <c r="AG91" s="1090">
        <f>H69</f>
        <v>-76460653.355200008</v>
      </c>
      <c r="AH91" s="1090">
        <f>H71</f>
        <v>-75136659.358400002</v>
      </c>
      <c r="AI91" s="1090">
        <f>H73</f>
        <v>-73812665.361600012</v>
      </c>
      <c r="AJ91" s="1090">
        <f>H75</f>
        <v>-72488671.364800006</v>
      </c>
      <c r="AK91" s="1090">
        <f>H77</f>
        <v>-71164677.368000001</v>
      </c>
      <c r="AL91" s="1090">
        <f>H79</f>
        <v>-69840683.37120001</v>
      </c>
      <c r="AM91" s="1090">
        <f>H81</f>
        <v>-68516689.374400005</v>
      </c>
      <c r="AN91" s="1090">
        <f>H83</f>
        <v>-67192695.377599999</v>
      </c>
      <c r="AO91" s="1090">
        <f>H85</f>
        <v>-3.9999999701976777E-2</v>
      </c>
      <c r="AP91" s="1090"/>
      <c r="AQ91" s="1090"/>
    </row>
  </sheetData>
  <mergeCells count="123">
    <mergeCell ref="A85:A86"/>
    <mergeCell ref="B85:B86"/>
    <mergeCell ref="H85:H86"/>
    <mergeCell ref="A81:A82"/>
    <mergeCell ref="B81:B82"/>
    <mergeCell ref="H81:H82"/>
    <mergeCell ref="A83:A84"/>
    <mergeCell ref="B83:B84"/>
    <mergeCell ref="H83:H84"/>
    <mergeCell ref="A77:A78"/>
    <mergeCell ref="B77:B78"/>
    <mergeCell ref="H77:H78"/>
    <mergeCell ref="A79:A80"/>
    <mergeCell ref="B79:B80"/>
    <mergeCell ref="H79:H80"/>
    <mergeCell ref="A73:A74"/>
    <mergeCell ref="B73:B74"/>
    <mergeCell ref="H73:H74"/>
    <mergeCell ref="A75:A76"/>
    <mergeCell ref="B75:B76"/>
    <mergeCell ref="H75:H76"/>
    <mergeCell ref="A69:A70"/>
    <mergeCell ref="B69:B70"/>
    <mergeCell ref="H69:H70"/>
    <mergeCell ref="A71:A72"/>
    <mergeCell ref="B71:B72"/>
    <mergeCell ref="H71:H72"/>
    <mergeCell ref="A65:A66"/>
    <mergeCell ref="B65:B66"/>
    <mergeCell ref="H65:H66"/>
    <mergeCell ref="A67:A68"/>
    <mergeCell ref="B67:B68"/>
    <mergeCell ref="H67:H68"/>
    <mergeCell ref="A61:A62"/>
    <mergeCell ref="B61:B62"/>
    <mergeCell ref="H61:H62"/>
    <mergeCell ref="A63:A64"/>
    <mergeCell ref="B63:B64"/>
    <mergeCell ref="H63:H64"/>
    <mergeCell ref="A57:A58"/>
    <mergeCell ref="B57:B58"/>
    <mergeCell ref="H57:H58"/>
    <mergeCell ref="A59:A60"/>
    <mergeCell ref="B59:B60"/>
    <mergeCell ref="H59:H60"/>
    <mergeCell ref="A53:A54"/>
    <mergeCell ref="B53:B54"/>
    <mergeCell ref="H53:H54"/>
    <mergeCell ref="A55:A56"/>
    <mergeCell ref="B55:B56"/>
    <mergeCell ref="H55:H56"/>
    <mergeCell ref="A49:A50"/>
    <mergeCell ref="B49:B50"/>
    <mergeCell ref="H49:H50"/>
    <mergeCell ref="A51:A52"/>
    <mergeCell ref="B51:B52"/>
    <mergeCell ref="H51:H52"/>
    <mergeCell ref="A45:A46"/>
    <mergeCell ref="B45:B46"/>
    <mergeCell ref="H45:H46"/>
    <mergeCell ref="A47:A48"/>
    <mergeCell ref="B47:B48"/>
    <mergeCell ref="H47:H48"/>
    <mergeCell ref="A41:A42"/>
    <mergeCell ref="B41:B42"/>
    <mergeCell ref="H41:H42"/>
    <mergeCell ref="A43:A44"/>
    <mergeCell ref="B43:B44"/>
    <mergeCell ref="H43:H44"/>
    <mergeCell ref="A37:A38"/>
    <mergeCell ref="B37:B38"/>
    <mergeCell ref="H37:H38"/>
    <mergeCell ref="A39:A40"/>
    <mergeCell ref="B39:B40"/>
    <mergeCell ref="H39:H40"/>
    <mergeCell ref="A33:A34"/>
    <mergeCell ref="B33:B34"/>
    <mergeCell ref="H33:H34"/>
    <mergeCell ref="A35:A36"/>
    <mergeCell ref="B35:B36"/>
    <mergeCell ref="H35:H36"/>
    <mergeCell ref="A29:A30"/>
    <mergeCell ref="B29:B30"/>
    <mergeCell ref="H29:H30"/>
    <mergeCell ref="A31:A32"/>
    <mergeCell ref="B31:B32"/>
    <mergeCell ref="H31:H32"/>
    <mergeCell ref="A25:A26"/>
    <mergeCell ref="B25:B26"/>
    <mergeCell ref="H25:H26"/>
    <mergeCell ref="A27:A28"/>
    <mergeCell ref="B27:B28"/>
    <mergeCell ref="H27:H28"/>
    <mergeCell ref="A21:A22"/>
    <mergeCell ref="B21:B22"/>
    <mergeCell ref="H21:H22"/>
    <mergeCell ref="A23:A24"/>
    <mergeCell ref="B23:B24"/>
    <mergeCell ref="H23:H24"/>
    <mergeCell ref="A17:A18"/>
    <mergeCell ref="B17:B18"/>
    <mergeCell ref="H17:H18"/>
    <mergeCell ref="A19:A20"/>
    <mergeCell ref="B19:B20"/>
    <mergeCell ref="H19:H20"/>
    <mergeCell ref="A15:A16"/>
    <mergeCell ref="B15:B16"/>
    <mergeCell ref="H15:H16"/>
    <mergeCell ref="A9:A10"/>
    <mergeCell ref="B9:B10"/>
    <mergeCell ref="H9:H10"/>
    <mergeCell ref="A11:A12"/>
    <mergeCell ref="B11:B12"/>
    <mergeCell ref="H11:H12"/>
    <mergeCell ref="A5:A6"/>
    <mergeCell ref="B5:B6"/>
    <mergeCell ref="H5:H6"/>
    <mergeCell ref="A7:A8"/>
    <mergeCell ref="B7:B8"/>
    <mergeCell ref="H7:H8"/>
    <mergeCell ref="A13:A14"/>
    <mergeCell ref="B13:B14"/>
    <mergeCell ref="H13:H14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3"/>
  <sheetViews>
    <sheetView zoomScale="93" zoomScaleNormal="93" workbookViewId="0">
      <pane ySplit="3" topLeftCell="A10" activePane="bottomLeft" state="frozen"/>
      <selection pane="bottomLeft" activeCell="G14" sqref="G14"/>
    </sheetView>
  </sheetViews>
  <sheetFormatPr defaultRowHeight="15"/>
  <cols>
    <col min="2" max="2" width="42.7109375" customWidth="1"/>
    <col min="3" max="3" width="9.42578125" customWidth="1"/>
    <col min="4" max="4" width="13.85546875" customWidth="1"/>
    <col min="5" max="5" width="14.5703125" customWidth="1"/>
    <col min="6" max="6" width="13.85546875" style="366" customWidth="1"/>
    <col min="7" max="7" width="17.85546875" style="1528" bestFit="1" customWidth="1"/>
    <col min="8" max="8" width="13.85546875" bestFit="1" customWidth="1"/>
    <col min="9" max="9" width="13.28515625" bestFit="1" customWidth="1"/>
    <col min="10" max="10" width="13.28515625" customWidth="1"/>
    <col min="11" max="11" width="15.5703125" bestFit="1" customWidth="1"/>
    <col min="12" max="12" width="16" bestFit="1" customWidth="1"/>
    <col min="13" max="17" width="12.7109375" customWidth="1"/>
  </cols>
  <sheetData>
    <row r="1" spans="1:17">
      <c r="A1" s="1" t="s">
        <v>602</v>
      </c>
      <c r="B1" s="2"/>
      <c r="C1" s="2"/>
      <c r="D1" s="2"/>
      <c r="E1" s="3"/>
      <c r="F1" s="1571"/>
      <c r="G1" s="1527" t="s">
        <v>581</v>
      </c>
    </row>
    <row r="2" spans="1:17" ht="15.75" thickBot="1"/>
    <row r="3" spans="1:17" ht="37.9" customHeight="1" thickBot="1">
      <c r="A3" s="4"/>
      <c r="B3" s="3"/>
      <c r="C3" s="3"/>
      <c r="D3" s="21" t="s">
        <v>43</v>
      </c>
      <c r="E3" s="22" t="s">
        <v>566</v>
      </c>
      <c r="F3" s="1572" t="s">
        <v>936</v>
      </c>
      <c r="G3" s="23" t="s">
        <v>937</v>
      </c>
      <c r="H3" s="24" t="s">
        <v>938</v>
      </c>
      <c r="I3" s="24" t="s">
        <v>939</v>
      </c>
      <c r="J3" s="24" t="s">
        <v>940</v>
      </c>
      <c r="K3" s="24" t="s">
        <v>949</v>
      </c>
      <c r="L3" s="24" t="s">
        <v>948</v>
      </c>
      <c r="M3" s="25" t="s">
        <v>44</v>
      </c>
      <c r="N3" s="21" t="s">
        <v>45</v>
      </c>
      <c r="O3" s="21" t="s">
        <v>46</v>
      </c>
      <c r="P3" s="21" t="s">
        <v>47</v>
      </c>
      <c r="Q3" s="21" t="s">
        <v>48</v>
      </c>
    </row>
    <row r="4" spans="1:17">
      <c r="A4" s="5" t="s">
        <v>21</v>
      </c>
      <c r="B4" s="6"/>
      <c r="C4" s="156"/>
      <c r="G4" s="1483"/>
    </row>
    <row r="5" spans="1:17">
      <c r="A5" s="10"/>
      <c r="B5" s="8" t="s">
        <v>357</v>
      </c>
      <c r="C5" s="8"/>
      <c r="D5" s="153">
        <f>'Kakamega data'!C4</f>
        <v>5572884</v>
      </c>
      <c r="E5" s="153">
        <f>'Kakamega data'!D4</f>
        <v>5612519</v>
      </c>
      <c r="F5" s="1573">
        <f>'Kakamega data'!E4</f>
        <v>5612519</v>
      </c>
      <c r="G5" s="1529">
        <f>'Kakamega data'!F4</f>
        <v>5432762</v>
      </c>
      <c r="H5" s="153">
        <f>'Kakamega data'!G4</f>
        <v>5612519</v>
      </c>
      <c r="I5" s="153">
        <f>'Kakamega data'!H4</f>
        <v>5612519</v>
      </c>
      <c r="J5" s="153">
        <f>'Kakamega data'!I4</f>
        <v>5612519</v>
      </c>
      <c r="K5" s="153">
        <f>'Kakamega data'!J4</f>
        <v>5612519</v>
      </c>
      <c r="L5" s="153">
        <f>'Kakamega data'!K4</f>
        <v>5612519</v>
      </c>
      <c r="M5" s="26"/>
      <c r="N5" s="26"/>
      <c r="O5" s="26"/>
      <c r="P5" s="26"/>
      <c r="Q5" s="26"/>
    </row>
    <row r="6" spans="1:17">
      <c r="A6" s="10"/>
      <c r="B6" s="8" t="s">
        <v>358</v>
      </c>
      <c r="C6" s="8"/>
      <c r="D6" s="153"/>
      <c r="E6" s="153"/>
      <c r="F6" s="1573"/>
      <c r="G6" s="1530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>
      <c r="A7" s="10"/>
      <c r="B7" s="8"/>
      <c r="C7" s="8"/>
      <c r="D7" s="153"/>
      <c r="E7" s="153"/>
      <c r="F7" s="1573"/>
      <c r="G7" s="1530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>
      <c r="A8" s="7"/>
      <c r="B8" s="9" t="s">
        <v>22</v>
      </c>
      <c r="C8" s="9" t="s">
        <v>359</v>
      </c>
      <c r="D8" s="159">
        <f>D5</f>
        <v>5572884</v>
      </c>
      <c r="E8" s="159">
        <f>E5</f>
        <v>5612519</v>
      </c>
      <c r="F8" s="1574">
        <f>F5</f>
        <v>5612519</v>
      </c>
      <c r="G8" s="1461">
        <f>SUM(G5:G6)</f>
        <v>5432762</v>
      </c>
      <c r="H8" s="1461">
        <f>SUM(H5:H6)</f>
        <v>5612519</v>
      </c>
      <c r="I8" s="1461">
        <f t="shared" ref="I8:K8" si="0">SUM(I5:I6)</f>
        <v>5612519</v>
      </c>
      <c r="J8" s="1461">
        <f t="shared" si="0"/>
        <v>5612519</v>
      </c>
      <c r="K8" s="1461">
        <f t="shared" si="0"/>
        <v>5612519</v>
      </c>
      <c r="L8" s="1461">
        <f>SUM(L5:L6)</f>
        <v>5612519</v>
      </c>
      <c r="M8" s="26"/>
      <c r="N8" s="26"/>
      <c r="O8" s="26"/>
      <c r="P8" s="26"/>
      <c r="Q8" s="26"/>
    </row>
    <row r="9" spans="1:17">
      <c r="A9" s="7"/>
      <c r="B9" s="9"/>
      <c r="C9" s="9" t="s">
        <v>360</v>
      </c>
      <c r="D9" s="160">
        <f t="shared" ref="D9:L9" si="1">D8/365</f>
        <v>15268.175342465753</v>
      </c>
      <c r="E9" s="160">
        <f t="shared" si="1"/>
        <v>15376.764383561644</v>
      </c>
      <c r="F9" s="1575">
        <f>F8/365</f>
        <v>15376.764383561644</v>
      </c>
      <c r="G9" s="1465">
        <f t="shared" si="1"/>
        <v>14884.279452054794</v>
      </c>
      <c r="H9" s="160">
        <f t="shared" si="1"/>
        <v>15376.764383561644</v>
      </c>
      <c r="I9" s="160">
        <f t="shared" si="1"/>
        <v>15376.764383561644</v>
      </c>
      <c r="J9" s="160">
        <f t="shared" si="1"/>
        <v>15376.764383561644</v>
      </c>
      <c r="K9" s="160">
        <f t="shared" si="1"/>
        <v>15376.764383561644</v>
      </c>
      <c r="L9" s="160">
        <f t="shared" si="1"/>
        <v>15376.764383561644</v>
      </c>
      <c r="M9" s="26"/>
      <c r="N9" s="26"/>
      <c r="O9" s="26"/>
      <c r="P9" s="26"/>
      <c r="Q9" s="26"/>
    </row>
    <row r="10" spans="1:17">
      <c r="A10" s="10"/>
      <c r="B10" s="8"/>
      <c r="C10" s="8"/>
      <c r="D10" s="26"/>
      <c r="E10" s="26"/>
      <c r="F10" s="1576"/>
      <c r="G10" s="1530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>
      <c r="A11" s="5" t="s">
        <v>23</v>
      </c>
      <c r="B11" s="9"/>
      <c r="C11" s="157"/>
      <c r="D11" s="1866"/>
      <c r="E11" s="1867"/>
      <c r="F11" s="1867"/>
      <c r="G11" s="1867"/>
      <c r="H11" s="1867"/>
      <c r="I11" s="1867"/>
      <c r="J11" s="1867"/>
      <c r="K11" s="1867"/>
      <c r="L11" s="1867"/>
      <c r="M11" s="1867"/>
      <c r="N11" s="1867"/>
      <c r="O11" s="1867"/>
      <c r="P11" s="1867"/>
      <c r="Q11" s="1868"/>
    </row>
    <row r="12" spans="1:17">
      <c r="A12" s="154"/>
      <c r="B12" s="11" t="str">
        <f>Banding!A46</f>
        <v>Domestic/Residential</v>
      </c>
      <c r="C12" s="11"/>
      <c r="D12" s="155">
        <f>Banding!B46</f>
        <v>2166857</v>
      </c>
      <c r="E12" s="155">
        <f>Banding!C46</f>
        <v>2332393</v>
      </c>
      <c r="F12" s="1577">
        <f>Banding!D46</f>
        <v>2332393</v>
      </c>
      <c r="G12" s="1462">
        <f>Banding!E46</f>
        <v>2412560</v>
      </c>
      <c r="H12" s="155">
        <v>3098619.229066602</v>
      </c>
      <c r="I12" s="155">
        <v>3098619.229066602</v>
      </c>
      <c r="J12" s="155">
        <v>3144867.277261626</v>
      </c>
      <c r="K12" s="155">
        <v>3191115.32545665</v>
      </c>
      <c r="L12" s="155">
        <v>3237363.373651674</v>
      </c>
      <c r="M12" s="26"/>
      <c r="N12" s="26"/>
      <c r="O12" s="26"/>
      <c r="P12" s="26"/>
      <c r="Q12" s="26"/>
    </row>
    <row r="13" spans="1:17">
      <c r="A13" s="154"/>
      <c r="B13" s="11" t="str">
        <f>Banding!A47</f>
        <v>Commercial / Industrial</v>
      </c>
      <c r="C13" s="11"/>
      <c r="D13" s="155">
        <f>Banding!B47</f>
        <v>118591</v>
      </c>
      <c r="E13" s="155">
        <f>Banding!C47</f>
        <v>127651</v>
      </c>
      <c r="F13" s="1577">
        <f>Banding!D47</f>
        <v>127651</v>
      </c>
      <c r="G13" s="1462">
        <f>Banding!E47</f>
        <v>172088</v>
      </c>
      <c r="H13" s="155">
        <v>182554.25275052254</v>
      </c>
      <c r="I13" s="155">
        <v>182554.25275052254</v>
      </c>
      <c r="J13" s="155">
        <v>185278.94309008258</v>
      </c>
      <c r="K13" s="155">
        <v>188003.63342964262</v>
      </c>
      <c r="L13" s="155">
        <v>190728.32376920266</v>
      </c>
      <c r="M13" s="26"/>
      <c r="N13" s="26"/>
      <c r="O13" s="26"/>
      <c r="P13" s="26"/>
      <c r="Q13" s="26"/>
    </row>
    <row r="14" spans="1:17">
      <c r="A14" s="154"/>
      <c r="B14" s="11" t="str">
        <f>Banding!A48</f>
        <v>Government Institutions</v>
      </c>
      <c r="C14" s="11"/>
      <c r="D14" s="155">
        <f>Banding!B48</f>
        <v>0</v>
      </c>
      <c r="E14" s="155">
        <f>Banding!C48</f>
        <v>0</v>
      </c>
      <c r="F14" s="1577">
        <f>Banding!D48</f>
        <v>0</v>
      </c>
      <c r="G14" s="1462">
        <f>Banding!E48</f>
        <v>88404</v>
      </c>
      <c r="H14" s="155">
        <v>28625.577023497641</v>
      </c>
      <c r="I14" s="155">
        <v>28625.577023497641</v>
      </c>
      <c r="J14" s="155">
        <v>29052.824441758803</v>
      </c>
      <c r="K14" s="155">
        <v>29480.071860019962</v>
      </c>
      <c r="L14" s="155">
        <v>29907.31927828112</v>
      </c>
      <c r="M14" s="26"/>
      <c r="N14" s="26"/>
      <c r="O14" s="26"/>
      <c r="P14" s="26"/>
      <c r="Q14" s="26"/>
    </row>
    <row r="15" spans="1:17">
      <c r="A15" s="154"/>
      <c r="B15" s="11" t="str">
        <f>Banding!A49</f>
        <v>Schools</v>
      </c>
      <c r="C15" s="11"/>
      <c r="D15" s="155">
        <f>Banding!B49</f>
        <v>328851</v>
      </c>
      <c r="E15" s="155">
        <f>Banding!C49</f>
        <v>353973</v>
      </c>
      <c r="F15" s="1577">
        <f>Banding!D49</f>
        <v>353973</v>
      </c>
      <c r="G15" s="1462">
        <f>Banding!E49</f>
        <v>195576</v>
      </c>
      <c r="H15" s="155">
        <v>415029.60603850125</v>
      </c>
      <c r="I15" s="155">
        <v>415029.60603850125</v>
      </c>
      <c r="J15" s="155">
        <v>421224.07777041919</v>
      </c>
      <c r="K15" s="155">
        <v>427418.54950233718</v>
      </c>
      <c r="L15" s="155">
        <v>433613.02123425511</v>
      </c>
      <c r="M15" s="26"/>
      <c r="N15" s="26"/>
      <c r="O15" s="26"/>
      <c r="P15" s="26"/>
      <c r="Q15" s="26"/>
    </row>
    <row r="16" spans="1:17">
      <c r="A16" s="154"/>
      <c r="B16" s="11" t="str">
        <f>Banding!A50</f>
        <v>Water Kiosks</v>
      </c>
      <c r="C16" s="11"/>
      <c r="D16" s="246">
        <f>Banding!B50</f>
        <v>34564</v>
      </c>
      <c r="E16" s="246">
        <f>Banding!C50</f>
        <v>37204</v>
      </c>
      <c r="F16" s="1577">
        <f>Banding!D50</f>
        <v>37204</v>
      </c>
      <c r="G16" s="1462">
        <f>Banding!E50</f>
        <v>47682</v>
      </c>
      <c r="H16" s="246">
        <v>52404.875120876248</v>
      </c>
      <c r="I16" s="246">
        <v>52404.875120876248</v>
      </c>
      <c r="J16" s="155">
        <v>53187.037436113213</v>
      </c>
      <c r="K16" s="155">
        <v>53969.19975135017</v>
      </c>
      <c r="L16" s="155">
        <v>54751.362066587135</v>
      </c>
      <c r="M16" s="26"/>
      <c r="N16" s="26"/>
      <c r="O16" s="26"/>
      <c r="P16" s="26"/>
      <c r="Q16" s="26"/>
    </row>
    <row r="17" spans="1:17">
      <c r="A17" s="7"/>
      <c r="B17" s="9" t="s">
        <v>24</v>
      </c>
      <c r="C17" s="9" t="s">
        <v>359</v>
      </c>
      <c r="D17" s="310">
        <f>SUM(D12:D16)</f>
        <v>2648863</v>
      </c>
      <c r="E17" s="310">
        <f>SUM(E12:E16)</f>
        <v>2851221</v>
      </c>
      <c r="F17" s="1578">
        <f>SUM(F12:F16)</f>
        <v>2851221</v>
      </c>
      <c r="G17" s="1465">
        <f>SUM(G12:G16)</f>
        <v>2916310</v>
      </c>
      <c r="H17" s="311">
        <f>SUM(H12:H16)</f>
        <v>3777233.54</v>
      </c>
      <c r="I17" s="311">
        <f t="shared" ref="I17:L17" si="2">SUM(I12:I16)</f>
        <v>3777233.54</v>
      </c>
      <c r="J17" s="311">
        <f t="shared" si="2"/>
        <v>3833610.1599999997</v>
      </c>
      <c r="K17" s="311">
        <f t="shared" si="2"/>
        <v>3889986.7800000003</v>
      </c>
      <c r="L17" s="311">
        <f t="shared" si="2"/>
        <v>3946363.4</v>
      </c>
      <c r="M17" s="26"/>
      <c r="N17" s="26"/>
      <c r="O17" s="26"/>
      <c r="P17" s="26"/>
      <c r="Q17" s="26"/>
    </row>
    <row r="18" spans="1:17">
      <c r="A18" s="7"/>
      <c r="B18" s="9"/>
      <c r="C18" s="9" t="s">
        <v>360</v>
      </c>
      <c r="D18" s="162">
        <f>D17/365</f>
        <v>7257.1589041095895</v>
      </c>
      <c r="E18" s="162">
        <f t="shared" ref="E18:L18" si="3">E17/365</f>
        <v>7811.5643835616438</v>
      </c>
      <c r="F18" s="1579">
        <f>F17/365</f>
        <v>7811.5643835616438</v>
      </c>
      <c r="G18" s="1463">
        <f>G17/365</f>
        <v>7989.8904109589039</v>
      </c>
      <c r="H18" s="162">
        <f t="shared" si="3"/>
        <v>10348.58504109589</v>
      </c>
      <c r="I18" s="162">
        <f t="shared" si="3"/>
        <v>10348.58504109589</v>
      </c>
      <c r="J18" s="162">
        <f t="shared" si="3"/>
        <v>10503.041534246575</v>
      </c>
      <c r="K18" s="162">
        <f t="shared" si="3"/>
        <v>10657.498027397261</v>
      </c>
      <c r="L18" s="162">
        <f t="shared" si="3"/>
        <v>10811.954520547944</v>
      </c>
      <c r="M18" s="26"/>
      <c r="N18" s="26"/>
      <c r="O18" s="26"/>
      <c r="P18" s="26"/>
      <c r="Q18" s="26"/>
    </row>
    <row r="19" spans="1:17">
      <c r="A19" s="10"/>
      <c r="B19" s="8"/>
      <c r="C19" s="8"/>
      <c r="D19" s="26"/>
      <c r="E19" s="164">
        <f>(E17-D17)/D17</f>
        <v>7.6394286907250392E-2</v>
      </c>
      <c r="F19" s="1580">
        <f>(F17-E17)/E17</f>
        <v>0</v>
      </c>
      <c r="G19" s="1531">
        <f>(G17-F17)/F17</f>
        <v>2.2828465418850381E-2</v>
      </c>
      <c r="H19" s="164">
        <f>(H17-G17)/G17</f>
        <v>0.29520988509452012</v>
      </c>
      <c r="I19" s="164">
        <f>(I17-H17)/H17</f>
        <v>0</v>
      </c>
      <c r="J19" s="26"/>
      <c r="K19" s="26"/>
      <c r="L19" s="164"/>
      <c r="M19" s="26"/>
      <c r="N19" s="26"/>
      <c r="O19" s="26"/>
      <c r="P19" s="26"/>
      <c r="Q19" s="26"/>
    </row>
    <row r="20" spans="1:17">
      <c r="A20" s="5" t="s">
        <v>409</v>
      </c>
      <c r="B20" s="9"/>
      <c r="C20" s="157"/>
      <c r="D20" s="1866"/>
      <c r="E20" s="1867"/>
      <c r="F20" s="1867"/>
      <c r="G20" s="1867"/>
      <c r="H20" s="1867"/>
      <c r="I20" s="1867"/>
      <c r="J20" s="1867"/>
      <c r="K20" s="1867"/>
      <c r="L20" s="1867"/>
      <c r="M20" s="1867"/>
      <c r="N20" s="1867"/>
      <c r="O20" s="1867"/>
      <c r="P20" s="1867"/>
      <c r="Q20" s="1868"/>
    </row>
    <row r="21" spans="1:17">
      <c r="A21" s="10"/>
      <c r="B21" s="8" t="s">
        <v>22</v>
      </c>
      <c r="C21" s="8"/>
      <c r="D21" s="161">
        <f>D8-D17</f>
        <v>2924021</v>
      </c>
      <c r="E21" s="161">
        <f>E8-E17</f>
        <v>2761298</v>
      </c>
      <c r="F21" s="1581">
        <f>F8-F17</f>
        <v>2761298</v>
      </c>
      <c r="G21" s="1532">
        <f>G8-G17</f>
        <v>2516452</v>
      </c>
      <c r="H21" s="161">
        <f>H8-H17</f>
        <v>1835285.46</v>
      </c>
      <c r="I21" s="161">
        <f t="shared" ref="I21:L21" si="4">I8-I17</f>
        <v>1835285.46</v>
      </c>
      <c r="J21" s="161">
        <f t="shared" si="4"/>
        <v>1778908.8400000003</v>
      </c>
      <c r="K21" s="161">
        <f t="shared" si="4"/>
        <v>1722532.2199999997</v>
      </c>
      <c r="L21" s="161">
        <f t="shared" si="4"/>
        <v>1666155.6</v>
      </c>
      <c r="M21" s="26"/>
      <c r="N21" s="26"/>
      <c r="O21" s="26"/>
      <c r="P21" s="26"/>
      <c r="Q21" s="26"/>
    </row>
    <row r="22" spans="1:17">
      <c r="A22" s="10"/>
      <c r="B22" s="8"/>
      <c r="C22" s="8"/>
      <c r="D22" s="26"/>
      <c r="E22" s="26"/>
      <c r="F22" s="1576"/>
      <c r="G22" s="1532">
        <f t="shared" ref="G22:L22" si="5">G9-G18</f>
        <v>6894.3890410958902</v>
      </c>
      <c r="H22" s="161">
        <f t="shared" si="5"/>
        <v>5028.1793424657535</v>
      </c>
      <c r="I22" s="161">
        <f t="shared" si="5"/>
        <v>5028.1793424657535</v>
      </c>
      <c r="J22" s="161">
        <f t="shared" si="5"/>
        <v>4873.7228493150687</v>
      </c>
      <c r="K22" s="161">
        <f t="shared" si="5"/>
        <v>4719.2663561643822</v>
      </c>
      <c r="L22" s="161">
        <f t="shared" si="5"/>
        <v>4564.8098630136992</v>
      </c>
      <c r="M22" s="26"/>
      <c r="N22" s="26"/>
      <c r="O22" s="26"/>
      <c r="P22" s="26"/>
      <c r="Q22" s="26"/>
    </row>
    <row r="23" spans="1:17">
      <c r="A23" s="10"/>
      <c r="B23" s="8" t="s">
        <v>421</v>
      </c>
      <c r="C23" s="8"/>
      <c r="D23" s="111">
        <v>0.25</v>
      </c>
      <c r="E23" s="111">
        <v>0.25</v>
      </c>
      <c r="F23" s="269">
        <v>0.25</v>
      </c>
      <c r="G23" s="1533">
        <v>0.25</v>
      </c>
      <c r="H23" s="111">
        <v>0.25</v>
      </c>
      <c r="I23" s="111">
        <v>0.25</v>
      </c>
      <c r="J23" s="111">
        <v>0.25</v>
      </c>
      <c r="K23" s="111">
        <v>0.25</v>
      </c>
      <c r="L23" s="111">
        <v>0.25</v>
      </c>
      <c r="M23" s="26"/>
      <c r="N23" s="26"/>
      <c r="O23" s="26"/>
      <c r="P23" s="26"/>
      <c r="Q23" s="26"/>
    </row>
    <row r="24" spans="1:17">
      <c r="A24" s="10"/>
      <c r="B24" s="27" t="s">
        <v>27</v>
      </c>
      <c r="C24" s="27"/>
      <c r="D24" s="164">
        <f>D21/D8</f>
        <v>0.52468721760582138</v>
      </c>
      <c r="E24" s="164">
        <f>E21/E8</f>
        <v>0.49198906943566695</v>
      </c>
      <c r="F24" s="1580">
        <f>F21/F8</f>
        <v>0.49198906943566695</v>
      </c>
      <c r="G24" s="1533">
        <f>G21/G8</f>
        <v>0.46319938182456732</v>
      </c>
      <c r="H24" s="269">
        <v>0.42</v>
      </c>
      <c r="I24" s="269">
        <v>0.39</v>
      </c>
      <c r="J24" s="269">
        <v>0.37</v>
      </c>
      <c r="K24" s="269">
        <v>0.35</v>
      </c>
      <c r="L24" s="269">
        <v>0.34</v>
      </c>
      <c r="M24" s="247"/>
      <c r="N24" s="26"/>
      <c r="O24" s="26"/>
      <c r="P24" s="26"/>
      <c r="Q24" s="26"/>
    </row>
    <row r="25" spans="1:17">
      <c r="A25" s="10"/>
      <c r="B25" s="8"/>
      <c r="C25" s="8"/>
      <c r="D25" s="26"/>
      <c r="E25" s="26"/>
      <c r="F25" s="1580"/>
      <c r="G25" s="1530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>
      <c r="A26" s="5" t="s">
        <v>28</v>
      </c>
      <c r="B26" s="9"/>
      <c r="C26" s="157"/>
      <c r="D26" s="1866"/>
      <c r="E26" s="1867"/>
      <c r="F26" s="1867"/>
      <c r="G26" s="1867"/>
      <c r="H26" s="1867"/>
      <c r="I26" s="1867"/>
      <c r="J26" s="1867"/>
      <c r="K26" s="1867"/>
      <c r="L26" s="1867"/>
      <c r="M26" s="1867"/>
      <c r="N26" s="1867"/>
      <c r="O26" s="1867"/>
      <c r="P26" s="1867"/>
      <c r="Q26" s="1868"/>
    </row>
    <row r="27" spans="1:17">
      <c r="A27" s="10"/>
      <c r="B27" s="8" t="s">
        <v>25</v>
      </c>
      <c r="C27" s="8"/>
      <c r="D27" s="26"/>
      <c r="E27" s="26"/>
      <c r="F27" s="1576"/>
      <c r="G27" s="1530"/>
      <c r="H27" s="26"/>
      <c r="I27" s="1590"/>
      <c r="J27" s="26"/>
      <c r="K27" s="26"/>
      <c r="L27" s="26"/>
      <c r="M27" s="26"/>
      <c r="N27" s="26"/>
      <c r="O27" s="26"/>
      <c r="P27" s="26"/>
      <c r="Q27" s="26"/>
    </row>
    <row r="28" spans="1:17">
      <c r="A28" s="10"/>
      <c r="B28" s="8" t="s">
        <v>12</v>
      </c>
      <c r="C28" s="8"/>
      <c r="D28" s="26"/>
      <c r="E28" s="26"/>
      <c r="F28" s="1576"/>
      <c r="G28" s="1530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1:17">
      <c r="A29" s="10"/>
      <c r="B29" s="8" t="s">
        <v>361</v>
      </c>
      <c r="C29" s="8"/>
      <c r="D29" s="26"/>
      <c r="E29" s="26"/>
      <c r="F29" s="1576"/>
      <c r="G29" s="1530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>
      <c r="A30" s="10"/>
      <c r="B30" s="165" t="s">
        <v>362</v>
      </c>
      <c r="C30" s="8"/>
      <c r="D30" s="26"/>
      <c r="E30" s="26"/>
      <c r="F30" s="1576"/>
      <c r="G30" s="1530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>
      <c r="A31" s="10"/>
      <c r="B31" s="165" t="s">
        <v>20</v>
      </c>
      <c r="C31" s="8"/>
      <c r="D31" s="26"/>
      <c r="E31" s="26"/>
      <c r="F31" s="1576"/>
      <c r="G31" s="1530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>
      <c r="A32" s="10"/>
      <c r="B32" s="165" t="s">
        <v>363</v>
      </c>
      <c r="C32" s="8"/>
      <c r="D32" s="26"/>
      <c r="E32" s="26"/>
      <c r="F32" s="1576"/>
      <c r="G32" s="1530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>
      <c r="A33" s="12"/>
      <c r="B33" s="13" t="s">
        <v>29</v>
      </c>
      <c r="C33" s="13"/>
      <c r="D33" s="26"/>
      <c r="E33" s="26"/>
      <c r="F33" s="1576"/>
      <c r="G33" s="1530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>
      <c r="A34" s="5" t="s">
        <v>30</v>
      </c>
      <c r="B34" s="9"/>
      <c r="C34" s="157"/>
      <c r="D34" s="1866"/>
      <c r="E34" s="1867"/>
      <c r="F34" s="1867"/>
      <c r="G34" s="1867"/>
      <c r="H34" s="1867"/>
      <c r="I34" s="1867"/>
      <c r="J34" s="1867"/>
      <c r="K34" s="1867"/>
      <c r="L34" s="1867"/>
      <c r="M34" s="1867"/>
      <c r="N34" s="1867"/>
      <c r="O34" s="1867"/>
      <c r="P34" s="1867"/>
      <c r="Q34" s="1868"/>
    </row>
    <row r="35" spans="1:17">
      <c r="A35" s="7" t="s">
        <v>51</v>
      </c>
      <c r="B35" s="9" t="s">
        <v>405</v>
      </c>
      <c r="C35" s="157"/>
      <c r="D35" s="231"/>
      <c r="E35" s="232"/>
      <c r="F35" s="1582"/>
      <c r="G35" s="1562"/>
      <c r="H35" s="232"/>
      <c r="I35" s="232"/>
      <c r="J35" s="232"/>
      <c r="K35" s="232"/>
      <c r="L35" s="232"/>
      <c r="M35" s="232"/>
      <c r="N35" s="232"/>
      <c r="O35" s="232"/>
      <c r="P35" s="232"/>
      <c r="Q35" s="233"/>
    </row>
    <row r="36" spans="1:17">
      <c r="A36" s="7"/>
      <c r="B36" s="166" t="str">
        <f>Banding!A56</f>
        <v>Domestic/Residential</v>
      </c>
      <c r="C36" s="157"/>
      <c r="D36" s="155">
        <f>Banding!B56</f>
        <v>19546</v>
      </c>
      <c r="E36" s="155">
        <f>Banding!C56</f>
        <v>20018</v>
      </c>
      <c r="F36" s="1577">
        <f>Banding!D56</f>
        <v>20506</v>
      </c>
      <c r="G36" s="1462">
        <f>Banding!E56</f>
        <v>20915.574917717255</v>
      </c>
      <c r="H36" s="155">
        <f>Banding!F56</f>
        <v>21333.8864160716</v>
      </c>
      <c r="I36" s="155">
        <f>Banding!G56</f>
        <v>21760.564144393033</v>
      </c>
      <c r="J36" s="155">
        <f>Banding!H56</f>
        <v>22195.775427280892</v>
      </c>
      <c r="K36" s="155">
        <f>Banding!I56</f>
        <v>22639.690935826511</v>
      </c>
      <c r="L36" s="155">
        <f>Banding!J56</f>
        <v>23092.484754543042</v>
      </c>
      <c r="M36" s="26"/>
      <c r="N36" s="26"/>
      <c r="O36" s="26"/>
      <c r="P36" s="26"/>
      <c r="Q36" s="26"/>
    </row>
    <row r="37" spans="1:17">
      <c r="A37" s="7"/>
      <c r="B37" s="166" t="str">
        <f>Banding!A57</f>
        <v>Commercial / Industrial</v>
      </c>
      <c r="C37" s="157"/>
      <c r="D37" s="155">
        <f>Banding!B57</f>
        <v>208</v>
      </c>
      <c r="E37" s="155">
        <f>Banding!C57</f>
        <v>213</v>
      </c>
      <c r="F37" s="1577">
        <f>Banding!D57</f>
        <v>218</v>
      </c>
      <c r="G37" s="1462">
        <f>Banding!E57</f>
        <v>222.4930652678413</v>
      </c>
      <c r="H37" s="155">
        <f>Banding!F57</f>
        <v>226.94292657319812</v>
      </c>
      <c r="I37" s="155">
        <f>Banding!G57</f>
        <v>231.48178510466212</v>
      </c>
      <c r="J37" s="155">
        <f>Banding!H57</f>
        <v>236.11142080675532</v>
      </c>
      <c r="K37" s="155">
        <f>Banding!I57</f>
        <v>240.83364922289044</v>
      </c>
      <c r="L37" s="155">
        <f>Banding!J57</f>
        <v>245.65032220734827</v>
      </c>
      <c r="M37" s="26"/>
      <c r="N37" s="26"/>
      <c r="O37" s="26"/>
      <c r="P37" s="26"/>
      <c r="Q37" s="26"/>
    </row>
    <row r="38" spans="1:17">
      <c r="A38" s="7"/>
      <c r="B38" s="166" t="str">
        <f>Banding!A58</f>
        <v>Government Institutions</v>
      </c>
      <c r="C38" s="157"/>
      <c r="D38" s="155">
        <f>Banding!B58</f>
        <v>0</v>
      </c>
      <c r="E38" s="155">
        <f>Banding!C58</f>
        <v>0</v>
      </c>
      <c r="F38" s="1577">
        <f>Banding!D58</f>
        <v>0</v>
      </c>
      <c r="G38" s="1462">
        <f>Banding!E58</f>
        <v>0</v>
      </c>
      <c r="H38" s="155">
        <f>Banding!F58</f>
        <v>0</v>
      </c>
      <c r="I38" s="155">
        <f>Banding!G58</f>
        <v>0</v>
      </c>
      <c r="J38" s="155">
        <f>Banding!H58</f>
        <v>0</v>
      </c>
      <c r="K38" s="155">
        <f>Banding!I58</f>
        <v>0</v>
      </c>
      <c r="L38" s="155">
        <f>Banding!J58</f>
        <v>30.216419733222899</v>
      </c>
      <c r="M38" s="26"/>
      <c r="N38" s="26"/>
      <c r="O38" s="26"/>
      <c r="P38" s="26"/>
      <c r="Q38" s="26"/>
    </row>
    <row r="39" spans="1:17">
      <c r="A39" s="7"/>
      <c r="B39" s="166" t="str">
        <f>Banding!A59</f>
        <v>Schools</v>
      </c>
      <c r="C39" s="157"/>
      <c r="D39" s="155">
        <f>Banding!B59</f>
        <v>128</v>
      </c>
      <c r="E39" s="155">
        <f>Banding!C59</f>
        <v>131</v>
      </c>
      <c r="F39" s="1577">
        <f>Banding!D59</f>
        <v>134</v>
      </c>
      <c r="G39" s="1462">
        <f>Banding!E59</f>
        <v>136.83971157566313</v>
      </c>
      <c r="H39" s="155">
        <f>Banding!F59</f>
        <v>139.5765058071764</v>
      </c>
      <c r="I39" s="155">
        <f>Banding!G59</f>
        <v>142.36803592331992</v>
      </c>
      <c r="J39" s="155">
        <f>Banding!H59</f>
        <v>145.21539664178633</v>
      </c>
      <c r="K39" s="155">
        <f>Banding!I59</f>
        <v>148.11970457462206</v>
      </c>
      <c r="L39" s="155">
        <f>Banding!J59</f>
        <v>120.8656789328916</v>
      </c>
      <c r="M39" s="26"/>
      <c r="N39" s="26"/>
      <c r="O39" s="26"/>
      <c r="P39" s="26"/>
      <c r="Q39" s="26"/>
    </row>
    <row r="40" spans="1:17">
      <c r="A40" s="7"/>
      <c r="B40" s="166" t="str">
        <f>Banding!A60</f>
        <v>Water Kiosks</v>
      </c>
      <c r="C40" s="157"/>
      <c r="D40" s="155">
        <f>Banding!B60</f>
        <v>145</v>
      </c>
      <c r="E40" s="155">
        <f>Banding!C60</f>
        <v>149</v>
      </c>
      <c r="F40" s="1577">
        <f>Banding!D60</f>
        <v>152</v>
      </c>
      <c r="G40" s="1462">
        <f>Banding!E60</f>
        <v>155.2923054392391</v>
      </c>
      <c r="H40" s="155">
        <f>Banding!F60</f>
        <v>158.39815154802386</v>
      </c>
      <c r="I40" s="155">
        <f>Banding!G60</f>
        <v>161.56611457898435</v>
      </c>
      <c r="J40" s="155">
        <f>Banding!H60</f>
        <v>164.79743687056404</v>
      </c>
      <c r="K40" s="155">
        <f>Banding!I60</f>
        <v>168.09338560797534</v>
      </c>
      <c r="L40" s="155">
        <f>Banding!J60</f>
        <v>171.45525332013483</v>
      </c>
      <c r="M40" s="26"/>
      <c r="N40" s="26"/>
      <c r="O40" s="26"/>
      <c r="P40" s="26"/>
      <c r="Q40" s="26"/>
    </row>
    <row r="41" spans="1:17" s="144" customFormat="1">
      <c r="A41" s="7"/>
      <c r="B41" s="9" t="s">
        <v>407</v>
      </c>
      <c r="C41" s="9"/>
      <c r="D41" s="162">
        <f>SUM(D36:D40)</f>
        <v>20027</v>
      </c>
      <c r="E41" s="162">
        <f>SUM(E36:E40)</f>
        <v>20511</v>
      </c>
      <c r="F41" s="1578">
        <f>SUM(F36:F40)</f>
        <v>21010</v>
      </c>
      <c r="G41" s="1463">
        <f>SUM(G36:G40)</f>
        <v>21430.199999999997</v>
      </c>
      <c r="H41" s="162">
        <f t="shared" ref="H41:L41" si="6">SUM(H36:H40)</f>
        <v>21858.804</v>
      </c>
      <c r="I41" s="162">
        <f t="shared" si="6"/>
        <v>22295.980079999998</v>
      </c>
      <c r="J41" s="162">
        <f t="shared" si="6"/>
        <v>22741.8996816</v>
      </c>
      <c r="K41" s="162">
        <f t="shared" si="6"/>
        <v>23196.737675232001</v>
      </c>
      <c r="L41" s="162">
        <f t="shared" si="6"/>
        <v>23660.672428736641</v>
      </c>
      <c r="M41" s="151"/>
      <c r="N41" s="151"/>
      <c r="O41" s="151"/>
      <c r="P41" s="151"/>
      <c r="Q41" s="151"/>
    </row>
    <row r="42" spans="1:17" s="144" customFormat="1">
      <c r="A42" s="7" t="s">
        <v>55</v>
      </c>
      <c r="B42" s="250" t="s">
        <v>406</v>
      </c>
      <c r="C42" s="9"/>
      <c r="D42" s="162"/>
      <c r="E42" s="162"/>
      <c r="F42" s="1578"/>
      <c r="G42" s="1463"/>
      <c r="H42" s="162"/>
      <c r="I42" s="162"/>
      <c r="J42" s="162"/>
      <c r="K42" s="162"/>
      <c r="L42" s="162"/>
      <c r="M42" s="151"/>
      <c r="N42" s="151"/>
      <c r="O42" s="151"/>
      <c r="P42" s="151"/>
      <c r="Q42" s="151"/>
    </row>
    <row r="43" spans="1:17" s="144" customFormat="1">
      <c r="A43" s="7"/>
      <c r="B43" s="166" t="str">
        <f>B36</f>
        <v>Domestic/Residential</v>
      </c>
      <c r="C43" s="9"/>
      <c r="D43" s="261">
        <f>'Kakamega data'!C48</f>
        <v>1840</v>
      </c>
      <c r="E43" s="261">
        <f>'Kakamega data'!D48</f>
        <v>2088</v>
      </c>
      <c r="F43" s="1583">
        <f>'Kakamega data'!E48</f>
        <v>2095</v>
      </c>
      <c r="G43" s="1534">
        <f>'Kakamega data'!F48</f>
        <v>2133.7247982170279</v>
      </c>
      <c r="H43" s="261">
        <f>'Kakamega data'!G48</f>
        <v>2179.6380000000004</v>
      </c>
      <c r="I43" s="261">
        <f>'Kakamega data'!H48</f>
        <v>2223.2307600000004</v>
      </c>
      <c r="J43" s="261">
        <f>'Kakamega data'!I48</f>
        <v>2267.6953752000004</v>
      </c>
      <c r="K43" s="261">
        <f>'Kakamega data'!J48</f>
        <v>2309.6123421796224</v>
      </c>
      <c r="L43" s="261">
        <f>'Kakamega data'!K48</f>
        <v>2355.8045890232147</v>
      </c>
      <c r="M43" s="151"/>
      <c r="N43" s="151"/>
      <c r="O43" s="151"/>
      <c r="P43" s="151"/>
      <c r="Q43" s="151"/>
    </row>
    <row r="44" spans="1:17" s="144" customFormat="1">
      <c r="A44" s="7"/>
      <c r="B44" s="166" t="str">
        <f>B37</f>
        <v>Commercial / Industrial</v>
      </c>
      <c r="C44" s="9"/>
      <c r="D44" s="261">
        <f>'Kakamega data'!C49+'Kakamega data'!C50</f>
        <v>72</v>
      </c>
      <c r="E44" s="261">
        <f>'Kakamega data'!D49+'Kakamega data'!D50</f>
        <v>76</v>
      </c>
      <c r="F44" s="1583">
        <f>'Kakamega data'!E49+'Kakamega data'!E50</f>
        <v>75</v>
      </c>
      <c r="G44" s="1534">
        <f>'Kakamega data'!F49+'Kakamega data'!F50</f>
        <v>79.176161426377647</v>
      </c>
      <c r="H44" s="261">
        <f>'Kakamega data'!G49+'Kakamega data'!G50</f>
        <v>78.030000000000015</v>
      </c>
      <c r="I44" s="261">
        <f>'Kakamega data'!H49+'Kakamega data'!H50</f>
        <v>79.590600000000023</v>
      </c>
      <c r="J44" s="261">
        <f>'Kakamega data'!I49+'Kakamega data'!I50</f>
        <v>81.182412000000014</v>
      </c>
      <c r="K44" s="261">
        <f>'Kakamega data'!J49+'Kakamega data'!J50</f>
        <v>85.702823433262651</v>
      </c>
      <c r="L44" s="261">
        <f>'Kakamega data'!K49+'Kakamega data'!K50</f>
        <v>87.416879901927899</v>
      </c>
      <c r="M44" s="151"/>
      <c r="N44" s="151"/>
      <c r="O44" s="151"/>
      <c r="P44" s="151"/>
      <c r="Q44" s="151"/>
    </row>
    <row r="45" spans="1:17" s="144" customFormat="1">
      <c r="A45" s="7"/>
      <c r="B45" s="166" t="str">
        <f>B38</f>
        <v>Government Institutions</v>
      </c>
      <c r="C45" s="9"/>
      <c r="D45" s="261">
        <f>'Kakamega data'!C51</f>
        <v>0</v>
      </c>
      <c r="E45" s="261">
        <f>'Kakamega data'!D51</f>
        <v>0</v>
      </c>
      <c r="F45" s="1583">
        <f>'Kakamega data'!E50+'Kakamega data'!E51</f>
        <v>0</v>
      </c>
      <c r="G45" s="1534">
        <f>'Kakamega data'!F51</f>
        <v>0</v>
      </c>
      <c r="H45" s="261">
        <f>'Kakamega data'!G51</f>
        <v>0</v>
      </c>
      <c r="I45" s="261">
        <f>'Kakamega data'!H51</f>
        <v>0</v>
      </c>
      <c r="J45" s="261">
        <f>'Kakamega data'!I51</f>
        <v>0</v>
      </c>
      <c r="K45" s="261">
        <f>'Kakamega data'!J51</f>
        <v>0</v>
      </c>
      <c r="L45" s="261">
        <f>'Kakamega data'!K51</f>
        <v>0</v>
      </c>
      <c r="M45" s="151"/>
      <c r="N45" s="151"/>
      <c r="O45" s="151"/>
      <c r="P45" s="151"/>
      <c r="Q45" s="151"/>
    </row>
    <row r="46" spans="1:17" s="144" customFormat="1">
      <c r="A46" s="7"/>
      <c r="B46" s="166" t="str">
        <f>B39</f>
        <v>Schools</v>
      </c>
      <c r="C46" s="9"/>
      <c r="D46" s="261">
        <f>'Kakamega data'!C52</f>
        <v>0</v>
      </c>
      <c r="E46" s="261">
        <f>'Kakamega data'!D52</f>
        <v>0</v>
      </c>
      <c r="F46" s="1583">
        <f>'Kakamega data'!E51+'Kakamega data'!E52</f>
        <v>0</v>
      </c>
      <c r="G46" s="1534">
        <f>'Kakamega data'!F52</f>
        <v>0</v>
      </c>
      <c r="H46" s="261">
        <f>'Kakamega data'!G52</f>
        <v>0</v>
      </c>
      <c r="I46" s="261">
        <f>'Kakamega data'!H52</f>
        <v>0</v>
      </c>
      <c r="J46" s="261">
        <f>'Kakamega data'!I52</f>
        <v>0</v>
      </c>
      <c r="K46" s="261">
        <f>'Kakamega data'!J52</f>
        <v>0</v>
      </c>
      <c r="L46" s="261">
        <f>'Kakamega data'!K52</f>
        <v>0</v>
      </c>
      <c r="M46" s="151"/>
      <c r="N46" s="151"/>
      <c r="O46" s="151"/>
      <c r="P46" s="151"/>
      <c r="Q46" s="151"/>
    </row>
    <row r="47" spans="1:17" s="144" customFormat="1">
      <c r="A47" s="7"/>
      <c r="B47" s="166" t="str">
        <f>B40</f>
        <v>Water Kiosks</v>
      </c>
      <c r="C47" s="9"/>
      <c r="D47" s="261">
        <f>'Kakamega data'!C53</f>
        <v>18</v>
      </c>
      <c r="E47" s="261">
        <f>'Kakamega data'!D53</f>
        <v>19</v>
      </c>
      <c r="F47" s="1583">
        <f>'Kakamega data'!E52+'Kakamega data'!E53</f>
        <v>19</v>
      </c>
      <c r="G47" s="1534">
        <f>'Kakamega data'!F53</f>
        <v>19.879040356594409</v>
      </c>
      <c r="H47" s="261">
        <f>'Kakamega data'!G53</f>
        <v>19.767600000000002</v>
      </c>
      <c r="I47" s="261">
        <f>'Kakamega data'!H53</f>
        <v>20.162952000000004</v>
      </c>
      <c r="J47" s="261">
        <f>'Kakamega data'!I53</f>
        <v>20.566211040000002</v>
      </c>
      <c r="K47" s="261">
        <f>'Kakamega data'!J53</f>
        <v>21.517712591915657</v>
      </c>
      <c r="L47" s="261">
        <f>'Kakamega data'!K53</f>
        <v>21.948066843753974</v>
      </c>
      <c r="M47" s="151"/>
      <c r="N47" s="151"/>
      <c r="O47" s="151"/>
      <c r="P47" s="151"/>
      <c r="Q47" s="151"/>
    </row>
    <row r="48" spans="1:17" s="144" customFormat="1">
      <c r="A48" s="7"/>
      <c r="B48" s="250" t="s">
        <v>368</v>
      </c>
      <c r="C48" s="9"/>
      <c r="D48" s="261">
        <f>SUM(D43:D47)</f>
        <v>1930</v>
      </c>
      <c r="E48" s="261">
        <f t="shared" ref="E48:L48" si="7">SUM(E43:E47)</f>
        <v>2183</v>
      </c>
      <c r="F48" s="1583">
        <f t="shared" si="7"/>
        <v>2189</v>
      </c>
      <c r="G48" s="1534">
        <f t="shared" si="7"/>
        <v>2232.7800000000002</v>
      </c>
      <c r="H48" s="261">
        <f t="shared" si="7"/>
        <v>2277.4356000000007</v>
      </c>
      <c r="I48" s="261">
        <f t="shared" si="7"/>
        <v>2322.9843120000005</v>
      </c>
      <c r="J48" s="261">
        <f t="shared" si="7"/>
        <v>2369.4439982400004</v>
      </c>
      <c r="K48" s="261">
        <f t="shared" si="7"/>
        <v>2416.8328782048006</v>
      </c>
      <c r="L48" s="261">
        <f t="shared" si="7"/>
        <v>2465.1695357688968</v>
      </c>
      <c r="M48" s="151"/>
      <c r="N48" s="151"/>
      <c r="O48" s="151"/>
      <c r="P48" s="151"/>
      <c r="Q48" s="151"/>
    </row>
    <row r="49" spans="1:17" ht="13.9" customHeight="1">
      <c r="A49" s="7"/>
      <c r="B49" s="250" t="s">
        <v>399</v>
      </c>
      <c r="C49" s="9"/>
      <c r="D49" s="162">
        <f t="shared" ref="D49:L49" si="8">D48+D41</f>
        <v>21957</v>
      </c>
      <c r="E49" s="162">
        <f t="shared" si="8"/>
        <v>22694</v>
      </c>
      <c r="F49" s="1578">
        <f t="shared" si="8"/>
        <v>23199</v>
      </c>
      <c r="G49" s="1463">
        <f t="shared" si="8"/>
        <v>23662.979999999996</v>
      </c>
      <c r="H49" s="162">
        <f t="shared" si="8"/>
        <v>24136.239600000001</v>
      </c>
      <c r="I49" s="162">
        <f t="shared" si="8"/>
        <v>24618.964391999998</v>
      </c>
      <c r="J49" s="162">
        <f t="shared" si="8"/>
        <v>25111.34367984</v>
      </c>
      <c r="K49" s="162">
        <f t="shared" si="8"/>
        <v>25613.570553436803</v>
      </c>
      <c r="L49" s="162">
        <f t="shared" si="8"/>
        <v>26125.84196450554</v>
      </c>
      <c r="M49" s="26"/>
      <c r="N49" s="26"/>
      <c r="O49" s="26"/>
      <c r="P49" s="26"/>
      <c r="Q49" s="26"/>
    </row>
    <row r="50" spans="1:17">
      <c r="A50" s="10"/>
      <c r="B50" s="8"/>
      <c r="C50" s="8"/>
      <c r="D50" s="26"/>
      <c r="E50" s="26"/>
      <c r="F50" s="1576"/>
      <c r="G50" s="1530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>
      <c r="A51" s="14" t="s">
        <v>31</v>
      </c>
      <c r="B51" s="9"/>
      <c r="C51" s="157"/>
      <c r="D51" s="1866"/>
      <c r="E51" s="1869"/>
      <c r="F51" s="1869"/>
      <c r="G51" s="1869"/>
      <c r="H51" s="1869"/>
      <c r="I51" s="1869"/>
      <c r="J51" s="1869"/>
      <c r="K51" s="1869"/>
      <c r="L51" s="1869"/>
      <c r="M51" s="1869"/>
      <c r="N51" s="1869"/>
      <c r="O51" s="1869"/>
      <c r="P51" s="1869"/>
      <c r="Q51" s="1870"/>
    </row>
    <row r="52" spans="1:17">
      <c r="A52" s="15"/>
      <c r="B52" s="166" t="s">
        <v>398</v>
      </c>
      <c r="C52" s="157"/>
      <c r="D52" s="229">
        <f>'Kakamega Financials'!B4+'Kakamega Financials'!B6</f>
        <v>172300471</v>
      </c>
      <c r="E52" s="229">
        <f>'Kakamega Financials'!C4+'Kakamega Financials'!C6</f>
        <v>204682127</v>
      </c>
      <c r="F52" s="1584">
        <f>'Annex 7'!AA48</f>
        <v>184317261.96250001</v>
      </c>
      <c r="G52" s="1557">
        <f>'Annex 7'!AL48</f>
        <v>203499165</v>
      </c>
      <c r="H52" s="226">
        <f>'Annex 7'!AW48</f>
        <v>391577402.78219992</v>
      </c>
      <c r="I52" s="226">
        <f>'Annex 7'!BH48</f>
        <v>395340340.17259592</v>
      </c>
      <c r="J52" s="226">
        <f>'Annex 7'!BS48</f>
        <v>401308828.53243053</v>
      </c>
      <c r="K52" s="226">
        <f>'Annex 7'!CD48</f>
        <v>407282667.92748433</v>
      </c>
      <c r="L52" s="226">
        <f>'Annex 7'!CO48</f>
        <v>413261965.37846166</v>
      </c>
      <c r="M52" s="225"/>
      <c r="N52" s="225"/>
      <c r="O52" s="225"/>
      <c r="P52" s="225"/>
      <c r="Q52" s="225"/>
    </row>
    <row r="53" spans="1:17" ht="26.25" customHeight="1">
      <c r="A53" s="15"/>
      <c r="B53" s="8" t="s">
        <v>367</v>
      </c>
      <c r="C53" s="8"/>
      <c r="D53" s="230">
        <f>'Kakamega Financials'!B9</f>
        <v>214878185</v>
      </c>
      <c r="E53" s="230">
        <f>'Kakamega Financials'!C9</f>
        <v>244272121</v>
      </c>
      <c r="F53" s="1585">
        <f>'Kakamega Financials'!D9</f>
        <v>223635551</v>
      </c>
      <c r="G53" s="1535">
        <f>'Kakamega Financials'!E9</f>
        <v>251535346.29000002</v>
      </c>
      <c r="H53" s="312">
        <f>'Annex 7'!AQ51</f>
        <v>453404680.22701097</v>
      </c>
      <c r="I53" s="228">
        <f>'Annex 7'!BD51</f>
        <v>456164311.89389342</v>
      </c>
      <c r="J53" s="228">
        <f>'Annex 7'!BO51</f>
        <v>463058837.48706394</v>
      </c>
      <c r="K53" s="228">
        <f>'Annex 7'!BY51</f>
        <v>469960150.02476215</v>
      </c>
      <c r="L53" s="227">
        <f>'Annex 7'!CJ51</f>
        <v>476868385.24587852</v>
      </c>
      <c r="M53" s="78"/>
      <c r="N53" s="78"/>
      <c r="O53" s="78"/>
      <c r="P53" s="78"/>
      <c r="Q53" s="78"/>
    </row>
    <row r="54" spans="1:17">
      <c r="A54" s="10"/>
      <c r="B54" s="8" t="s">
        <v>32</v>
      </c>
      <c r="C54" s="8"/>
      <c r="D54" s="155">
        <f>D53*D55</f>
        <v>201985493.89999998</v>
      </c>
      <c r="E54" s="155">
        <f>E53*E55</f>
        <v>229615793.73999998</v>
      </c>
      <c r="F54" s="1586">
        <f>F53*F55</f>
        <v>210217417.94</v>
      </c>
      <c r="G54" s="1556">
        <f t="shared" ref="G54:L54" si="9">G53*G55</f>
        <v>218835751.2723</v>
      </c>
      <c r="H54" s="168">
        <f>H53*H55</f>
        <v>408064212.20430988</v>
      </c>
      <c r="I54" s="168">
        <f t="shared" si="9"/>
        <v>419671166.94238198</v>
      </c>
      <c r="J54" s="168">
        <f t="shared" si="9"/>
        <v>430644718.86296952</v>
      </c>
      <c r="K54" s="168">
        <f t="shared" si="9"/>
        <v>446462142.52352405</v>
      </c>
      <c r="L54" s="168">
        <f t="shared" si="9"/>
        <v>453024965.98358458</v>
      </c>
      <c r="M54" s="26"/>
      <c r="N54" s="26"/>
      <c r="O54" s="26"/>
      <c r="P54" s="26"/>
      <c r="Q54" s="26"/>
    </row>
    <row r="55" spans="1:17">
      <c r="A55" s="10"/>
      <c r="B55" s="8" t="s">
        <v>33</v>
      </c>
      <c r="C55" s="8"/>
      <c r="D55" s="164">
        <v>0.94</v>
      </c>
      <c r="E55" s="164">
        <v>0.94</v>
      </c>
      <c r="F55" s="269">
        <v>0.94</v>
      </c>
      <c r="G55" s="1533">
        <v>0.87</v>
      </c>
      <c r="H55" s="111">
        <v>0.9</v>
      </c>
      <c r="I55" s="111">
        <v>0.92</v>
      </c>
      <c r="J55" s="111">
        <v>0.93</v>
      </c>
      <c r="K55" s="111">
        <v>0.95</v>
      </c>
      <c r="L55" s="111">
        <v>0.95</v>
      </c>
      <c r="M55" s="26"/>
      <c r="N55" s="26"/>
      <c r="O55" s="26"/>
      <c r="P55" s="26"/>
      <c r="Q55" s="26"/>
    </row>
    <row r="56" spans="1:17">
      <c r="A56" s="10"/>
      <c r="B56" s="249" t="s">
        <v>420</v>
      </c>
      <c r="C56" s="28"/>
      <c r="D56" s="111">
        <v>0.95</v>
      </c>
      <c r="E56" s="111">
        <v>0.95</v>
      </c>
      <c r="F56" s="269">
        <v>0.95</v>
      </c>
      <c r="G56" s="1533">
        <v>0.95</v>
      </c>
      <c r="H56" s="111">
        <v>0.95</v>
      </c>
      <c r="I56" s="111">
        <v>0.95</v>
      </c>
      <c r="J56" s="111">
        <v>0.95</v>
      </c>
      <c r="K56" s="111">
        <v>0.95</v>
      </c>
      <c r="L56" s="111">
        <v>0.95</v>
      </c>
      <c r="M56" s="26"/>
      <c r="N56" s="26"/>
      <c r="O56" s="26"/>
      <c r="P56" s="26"/>
      <c r="Q56" s="26"/>
    </row>
    <row r="57" spans="1:17">
      <c r="A57" s="10"/>
      <c r="B57" s="8"/>
      <c r="C57" s="8"/>
      <c r="D57" s="26"/>
      <c r="E57" s="26"/>
      <c r="F57" s="1576"/>
      <c r="G57" s="1530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>
      <c r="A58" s="14" t="s">
        <v>34</v>
      </c>
      <c r="B58" s="9"/>
      <c r="C58" s="157"/>
      <c r="D58" s="1866"/>
      <c r="E58" s="1867"/>
      <c r="F58" s="1867"/>
      <c r="G58" s="1867"/>
      <c r="H58" s="1867"/>
      <c r="I58" s="1867"/>
      <c r="J58" s="1867"/>
      <c r="K58" s="1867"/>
      <c r="L58" s="1867"/>
      <c r="M58" s="1867"/>
      <c r="N58" s="1867"/>
      <c r="O58" s="1867"/>
      <c r="P58" s="1867"/>
      <c r="Q58" s="1868"/>
    </row>
    <row r="59" spans="1:17">
      <c r="A59" s="10"/>
      <c r="B59" s="29" t="s">
        <v>35</v>
      </c>
      <c r="C59" s="29"/>
      <c r="D59" s="155">
        <f>'Kakamega Financials'!B5</f>
        <v>39627214</v>
      </c>
      <c r="E59" s="155">
        <f>'Kakamega Financials'!C5</f>
        <v>34762674</v>
      </c>
      <c r="F59" s="1577">
        <f>'Annex 7'!AD48</f>
        <v>42472554.375361256</v>
      </c>
      <c r="G59" s="1462">
        <f>'Annex 7'!AO48</f>
        <v>44581950.09364</v>
      </c>
      <c r="H59" s="155">
        <f>'Annex 7'!BA48</f>
        <v>58307891.884811021</v>
      </c>
      <c r="I59" s="155">
        <f>'Annex 7'!BL48</f>
        <v>57234198.450097494</v>
      </c>
      <c r="J59" s="155">
        <f>'Annex 7'!BW48</f>
        <v>58088440.218009405</v>
      </c>
      <c r="K59" s="155">
        <f>'Annex 7'!CH48</f>
        <v>58942681.985921308</v>
      </c>
      <c r="L59" s="155">
        <f>'Annex 7'!CS48</f>
        <v>59796923.753833219</v>
      </c>
      <c r="M59" s="26"/>
      <c r="N59" s="26"/>
      <c r="O59" s="26"/>
      <c r="P59" s="26"/>
      <c r="Q59" s="26"/>
    </row>
    <row r="60" spans="1:17">
      <c r="A60" s="10"/>
      <c r="B60" s="245" t="s">
        <v>366</v>
      </c>
      <c r="C60" s="245"/>
      <c r="D60" s="246">
        <f>'Kakamega Financials'!B8</f>
        <v>2950500</v>
      </c>
      <c r="E60" s="155">
        <f>'Kakamega Financials'!C8</f>
        <v>4827320</v>
      </c>
      <c r="F60" s="1577">
        <f>'Kakamega Financials'!D8</f>
        <v>366154</v>
      </c>
      <c r="G60" s="1462">
        <f>'Kakamega Financials'!E8</f>
        <v>3450378</v>
      </c>
      <c r="H60" s="155">
        <f>'Kakamega Financials'!F8</f>
        <v>3519385.56</v>
      </c>
      <c r="I60" s="155">
        <f>'Kakamega Financials'!G8</f>
        <v>3589773.2712000003</v>
      </c>
      <c r="J60" s="155">
        <f>'Kakamega Financials'!H8</f>
        <v>3661568.7366240006</v>
      </c>
      <c r="K60" s="155">
        <f>'Kakamega Financials'!I8</f>
        <v>3734800.1113564805</v>
      </c>
      <c r="L60" s="155">
        <f>'Kakamega Financials'!J8</f>
        <v>3809496.1135836104</v>
      </c>
      <c r="M60" s="26"/>
      <c r="N60" s="26"/>
      <c r="O60" s="26"/>
      <c r="P60" s="26"/>
      <c r="Q60" s="26"/>
    </row>
    <row r="61" spans="1:17">
      <c r="A61" s="10"/>
      <c r="B61" s="29" t="s">
        <v>402</v>
      </c>
      <c r="C61" s="29"/>
      <c r="D61" s="155">
        <f>'Kakamega data'!C31</f>
        <v>199598.37</v>
      </c>
      <c r="E61" s="246">
        <f>'Kakamega data'!D31</f>
        <v>207551.86</v>
      </c>
      <c r="F61" s="1577">
        <f>'Kakamega data'!E31</f>
        <v>210076.77</v>
      </c>
      <c r="G61" s="1462">
        <f>'Annex 7'!AN48</f>
        <v>2194492.9999999995</v>
      </c>
      <c r="H61" s="246">
        <f>'Annex 7'!AZ48</f>
        <v>2839259.993732661</v>
      </c>
      <c r="I61" s="246">
        <f>'Annex 7'!BK48</f>
        <v>2839259.993732661</v>
      </c>
      <c r="J61" s="246">
        <f>'Annex 7'!BV48</f>
        <v>2881637.0085644918</v>
      </c>
      <c r="K61" s="246">
        <f>'Annex 7'!CG48</f>
        <v>2924014.0233963239</v>
      </c>
      <c r="L61" s="246">
        <f>'Annex 7'!CR48</f>
        <v>2966391.0382281542</v>
      </c>
      <c r="M61" s="26"/>
      <c r="N61" s="26"/>
      <c r="O61" s="26"/>
      <c r="P61" s="26"/>
      <c r="Q61" s="26"/>
    </row>
    <row r="62" spans="1:17">
      <c r="A62" s="7"/>
      <c r="B62" s="9" t="s">
        <v>22</v>
      </c>
      <c r="C62" s="9"/>
      <c r="D62" s="162">
        <f>SUM(D59:D60)</f>
        <v>42577714</v>
      </c>
      <c r="E62" s="162">
        <f>SUM(E59:E60)</f>
        <v>39589994</v>
      </c>
      <c r="F62" s="1578">
        <f>SUM(F59:F60)</f>
        <v>42838708.375361256</v>
      </c>
      <c r="G62" s="1463">
        <f t="shared" ref="G62:L62" si="10">SUM(G59:G60)</f>
        <v>48032328.09364</v>
      </c>
      <c r="H62" s="162">
        <f t="shared" si="10"/>
        <v>61827277.444811024</v>
      </c>
      <c r="I62" s="162">
        <f t="shared" si="10"/>
        <v>60823971.721297495</v>
      </c>
      <c r="J62" s="162">
        <f t="shared" si="10"/>
        <v>61750008.954633407</v>
      </c>
      <c r="K62" s="162">
        <f t="shared" si="10"/>
        <v>62677482.09727779</v>
      </c>
      <c r="L62" s="162">
        <f t="shared" si="10"/>
        <v>63606419.867416829</v>
      </c>
      <c r="M62" s="151"/>
      <c r="N62" s="151"/>
      <c r="O62" s="151"/>
      <c r="P62" s="151"/>
      <c r="Q62" s="151"/>
    </row>
    <row r="63" spans="1:17">
      <c r="A63" s="10"/>
      <c r="B63" s="8"/>
      <c r="C63" s="8"/>
      <c r="D63" s="161"/>
      <c r="E63" s="26"/>
      <c r="F63" s="1576"/>
      <c r="G63" s="1530"/>
      <c r="H63" s="26"/>
      <c r="I63" s="26"/>
      <c r="J63" s="26"/>
      <c r="K63" s="26"/>
      <c r="L63" s="26">
        <f>M61/L61</f>
        <v>0</v>
      </c>
      <c r="M63" s="26"/>
      <c r="N63" s="26"/>
      <c r="O63" s="26"/>
      <c r="P63" s="26"/>
      <c r="Q63" s="26"/>
    </row>
    <row r="64" spans="1:17">
      <c r="A64" s="14" t="s">
        <v>36</v>
      </c>
      <c r="B64" s="9"/>
      <c r="C64" s="157"/>
      <c r="D64" s="1866"/>
      <c r="E64" s="1867"/>
      <c r="F64" s="1867"/>
      <c r="G64" s="1867"/>
      <c r="H64" s="1867"/>
      <c r="I64" s="1867"/>
      <c r="J64" s="1867"/>
      <c r="K64" s="1867"/>
      <c r="L64" s="1867"/>
      <c r="M64" s="1867"/>
      <c r="N64" s="1867"/>
      <c r="O64" s="1867"/>
      <c r="P64" s="1867"/>
      <c r="Q64" s="1868"/>
    </row>
    <row r="65" spans="1:17" ht="38.25">
      <c r="A65" s="10"/>
      <c r="B65" s="27" t="s">
        <v>408</v>
      </c>
      <c r="C65" s="27"/>
      <c r="D65" s="164">
        <f>D54/'Annex 3 Total O&amp;M'!C97</f>
        <v>0.96980071391869305</v>
      </c>
      <c r="E65" s="164">
        <f>E54/'Annex 3 Total O&amp;M'!E97</f>
        <v>0.92945973954508232</v>
      </c>
      <c r="F65" s="1580">
        <f>F54/'Annex 3 Total O&amp;M'!G97</f>
        <v>0.90929625701613925</v>
      </c>
      <c r="G65" s="1531">
        <f>G53/'Annex 3 Total O&amp;M'!I97</f>
        <v>0.86447698650122573</v>
      </c>
      <c r="H65" s="248">
        <f>'Annex 7'!I117</f>
        <v>103.38560433377441</v>
      </c>
      <c r="I65" s="248">
        <f>'Annex 7'!I118</f>
        <v>103.89875937805735</v>
      </c>
      <c r="J65" s="248">
        <f>'Annex 7'!I119</f>
        <v>103.95898123850944</v>
      </c>
      <c r="K65" s="248">
        <f>'Annex 7'!I120</f>
        <v>105.45348796847587</v>
      </c>
      <c r="L65" s="248">
        <f>'Annex 7'!I121</f>
        <v>102.19297027058687</v>
      </c>
      <c r="M65" s="26"/>
      <c r="N65" s="26"/>
      <c r="O65" s="26"/>
      <c r="P65" s="26"/>
      <c r="Q65" s="26"/>
    </row>
    <row r="66" spans="1:17">
      <c r="A66" s="10"/>
      <c r="B66" s="8"/>
      <c r="C66" s="8"/>
      <c r="D66" s="26"/>
      <c r="E66" s="26"/>
      <c r="F66" s="1576"/>
      <c r="G66" s="1530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1:17">
      <c r="A67" s="5" t="s">
        <v>37</v>
      </c>
      <c r="B67" s="9"/>
      <c r="C67" s="157"/>
      <c r="D67" s="1866"/>
      <c r="E67" s="1867"/>
      <c r="F67" s="1867"/>
      <c r="G67" s="1867"/>
      <c r="H67" s="1867"/>
      <c r="I67" s="1867"/>
      <c r="J67" s="1867"/>
      <c r="K67" s="1867"/>
      <c r="L67" s="1867"/>
      <c r="M67" s="1867"/>
      <c r="N67" s="1867"/>
      <c r="O67" s="1867"/>
      <c r="P67" s="1867"/>
      <c r="Q67" s="1868"/>
    </row>
    <row r="68" spans="1:17">
      <c r="A68" s="16"/>
      <c r="B68" s="17" t="s">
        <v>38</v>
      </c>
      <c r="C68" s="17"/>
      <c r="D68" s="153">
        <f>'Kakamega data'!C57</f>
        <v>185</v>
      </c>
      <c r="E68" s="153">
        <f>'Kakamega data'!D57</f>
        <v>180</v>
      </c>
      <c r="F68" s="1573">
        <v>175</v>
      </c>
      <c r="G68" s="1529">
        <f>'Kakamega data'!F57</f>
        <v>172</v>
      </c>
      <c r="H68" s="153">
        <f>'Kakamega data'!G57</f>
        <v>172</v>
      </c>
      <c r="I68" s="153">
        <f>'Kakamega data'!H57</f>
        <v>172</v>
      </c>
      <c r="J68" s="153">
        <f>'Kakamega data'!I57</f>
        <v>172</v>
      </c>
      <c r="K68" s="153">
        <f>'Kakamega data'!J57</f>
        <v>172</v>
      </c>
      <c r="L68" s="153">
        <f>'Kakamega data'!K57</f>
        <v>172</v>
      </c>
      <c r="M68" s="26"/>
      <c r="N68" s="26"/>
      <c r="O68" s="26"/>
      <c r="P68" s="26"/>
      <c r="Q68" s="26"/>
    </row>
    <row r="69" spans="1:17">
      <c r="A69" s="10"/>
      <c r="B69" s="8" t="s">
        <v>39</v>
      </c>
      <c r="C69" s="8"/>
      <c r="D69" s="288">
        <f>D68/D49*1000</f>
        <v>8.4255590472286741</v>
      </c>
      <c r="E69" s="163">
        <f>E68/E49*1000</f>
        <v>7.9316118797920154</v>
      </c>
      <c r="F69" s="1587">
        <f>F68/F49*1000</f>
        <v>7.543428596060175</v>
      </c>
      <c r="G69" s="1536">
        <f>G68/G49*1000</f>
        <v>7.268737918892719</v>
      </c>
      <c r="H69" s="163">
        <f t="shared" ref="H69:J69" si="11">H68/H49*1000</f>
        <v>7.1262136459732526</v>
      </c>
      <c r="I69" s="163">
        <f>I68/I49*1000</f>
        <v>6.9864839666404448</v>
      </c>
      <c r="J69" s="163">
        <f t="shared" si="11"/>
        <v>6.849494084941611</v>
      </c>
      <c r="K69" s="163">
        <f>K68/K49*1000</f>
        <v>6.7151902793545206</v>
      </c>
      <c r="L69" s="163">
        <f>L68/L49*1000</f>
        <v>6.5835198817201173</v>
      </c>
      <c r="M69" s="26"/>
      <c r="N69" s="26"/>
      <c r="O69" s="26"/>
      <c r="P69" s="26"/>
      <c r="Q69" s="26"/>
    </row>
    <row r="70" spans="1:17">
      <c r="A70" s="10"/>
      <c r="B70" s="8"/>
      <c r="C70" s="8"/>
      <c r="D70" s="26"/>
      <c r="E70" s="26"/>
      <c r="F70" s="1576"/>
      <c r="G70" s="1530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17">
      <c r="A71" s="14" t="s">
        <v>40</v>
      </c>
      <c r="B71" s="9"/>
      <c r="C71" s="157"/>
      <c r="D71" s="1866"/>
      <c r="E71" s="1867"/>
      <c r="F71" s="1867"/>
      <c r="G71" s="1867"/>
      <c r="H71" s="1867"/>
      <c r="I71" s="1867"/>
      <c r="J71" s="1867"/>
      <c r="K71" s="1867"/>
      <c r="L71" s="1867"/>
      <c r="M71" s="1867"/>
      <c r="N71" s="1867"/>
      <c r="O71" s="1867"/>
      <c r="P71" s="1867"/>
      <c r="Q71" s="1868"/>
    </row>
    <row r="72" spans="1:17">
      <c r="A72" s="18"/>
      <c r="B72" s="17" t="s">
        <v>41</v>
      </c>
      <c r="C72" s="17"/>
      <c r="D72" s="155">
        <f>4%*D53</f>
        <v>8595127.4000000004</v>
      </c>
      <c r="E72" s="155">
        <f t="shared" ref="E72:L72" si="12">4%*E53</f>
        <v>9770884.8399999999</v>
      </c>
      <c r="F72" s="1577">
        <f>4%*F53</f>
        <v>8945422.040000001</v>
      </c>
      <c r="G72" s="1537">
        <f>4%*G53</f>
        <v>10061413.851600001</v>
      </c>
      <c r="H72" s="155">
        <f t="shared" si="12"/>
        <v>18136187.209080439</v>
      </c>
      <c r="I72" s="155">
        <f t="shared" si="12"/>
        <v>18246572.475755736</v>
      </c>
      <c r="J72" s="155">
        <f t="shared" si="12"/>
        <v>18522353.499482557</v>
      </c>
      <c r="K72" s="155">
        <f t="shared" si="12"/>
        <v>18798406.000990488</v>
      </c>
      <c r="L72" s="155">
        <f t="shared" si="12"/>
        <v>19074735.409835141</v>
      </c>
      <c r="M72" s="26"/>
      <c r="N72" s="26"/>
      <c r="O72" s="26"/>
      <c r="P72" s="26"/>
      <c r="Q72" s="26"/>
    </row>
    <row r="73" spans="1:17" ht="15.75" thickBot="1">
      <c r="A73" s="19"/>
      <c r="B73" s="20" t="s">
        <v>42</v>
      </c>
      <c r="C73" s="158"/>
      <c r="D73" s="26"/>
      <c r="E73" s="26"/>
      <c r="F73" s="1576"/>
      <c r="G73" s="1530"/>
      <c r="H73" s="26"/>
      <c r="I73" s="26"/>
      <c r="J73" s="26"/>
      <c r="K73" s="26"/>
      <c r="L73" s="26"/>
      <c r="M73" s="26"/>
      <c r="N73" s="26"/>
      <c r="O73" s="26"/>
      <c r="P73" s="26"/>
      <c r="Q73" s="26"/>
    </row>
  </sheetData>
  <mergeCells count="9">
    <mergeCell ref="D64:Q64"/>
    <mergeCell ref="D67:Q67"/>
    <mergeCell ref="D71:Q71"/>
    <mergeCell ref="D11:Q11"/>
    <mergeCell ref="D20:Q20"/>
    <mergeCell ref="D26:Q26"/>
    <mergeCell ref="D34:Q34"/>
    <mergeCell ref="D51:Q51"/>
    <mergeCell ref="D58:Q58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Q91"/>
  <sheetViews>
    <sheetView workbookViewId="0">
      <pane ySplit="4" topLeftCell="A85" activePane="bottomLeft" state="frozen"/>
      <selection pane="bottomLeft" activeCell="A91" sqref="A91"/>
    </sheetView>
  </sheetViews>
  <sheetFormatPr defaultColWidth="9.140625" defaultRowHeight="12.75"/>
  <cols>
    <col min="1" max="3" width="10.42578125" style="763" bestFit="1" customWidth="1"/>
    <col min="4" max="4" width="12.5703125" style="763" customWidth="1"/>
    <col min="5" max="5" width="15.5703125" style="763" customWidth="1"/>
    <col min="6" max="6" width="13.5703125" style="763" customWidth="1"/>
    <col min="7" max="7" width="14.85546875" style="763" customWidth="1"/>
    <col min="8" max="8" width="13.42578125" style="763" bestFit="1" customWidth="1"/>
    <col min="9" max="9" width="10.42578125" style="763" bestFit="1" customWidth="1"/>
    <col min="10" max="10" width="11.28515625" style="763" customWidth="1"/>
    <col min="11" max="11" width="15" style="763" customWidth="1"/>
    <col min="12" max="12" width="11.28515625" style="763" customWidth="1"/>
    <col min="13" max="20" width="10.42578125" style="763" bestFit="1" customWidth="1"/>
    <col min="21" max="37" width="11.28515625" style="763" bestFit="1" customWidth="1"/>
    <col min="38" max="41" width="10.42578125" style="763" bestFit="1" customWidth="1"/>
    <col min="42" max="42" width="9.28515625" style="763" bestFit="1" customWidth="1"/>
    <col min="43" max="16384" width="9.140625" style="763"/>
  </cols>
  <sheetData>
    <row r="1" spans="1:11" ht="13.5" thickBot="1"/>
    <row r="2" spans="1:11">
      <c r="A2" s="1074" t="s">
        <v>506</v>
      </c>
      <c r="B2" s="1075"/>
      <c r="C2" s="1075"/>
      <c r="D2" s="1076"/>
      <c r="E2" s="1076"/>
      <c r="F2" s="1076"/>
      <c r="G2" s="1076"/>
      <c r="H2" s="1076"/>
      <c r="I2" s="1077"/>
    </row>
    <row r="3" spans="1:11">
      <c r="A3" s="1078"/>
      <c r="B3" s="1079"/>
      <c r="C3" s="1079"/>
      <c r="D3" s="1079"/>
      <c r="E3" s="1079"/>
      <c r="F3" s="1079"/>
      <c r="G3" s="1079"/>
      <c r="H3" s="1079"/>
      <c r="I3" s="1080"/>
    </row>
    <row r="4" spans="1:11" ht="25.5">
      <c r="A4" s="1081" t="s">
        <v>496</v>
      </c>
      <c r="B4" s="1082" t="s">
        <v>209</v>
      </c>
      <c r="C4" s="1082" t="s">
        <v>497</v>
      </c>
      <c r="D4" s="1082" t="s">
        <v>498</v>
      </c>
      <c r="E4" s="1082" t="s">
        <v>499</v>
      </c>
      <c r="F4" s="1082" t="s">
        <v>500</v>
      </c>
      <c r="G4" s="1082" t="s">
        <v>501</v>
      </c>
      <c r="H4" s="1082" t="s">
        <v>502</v>
      </c>
      <c r="I4" s="1083" t="s">
        <v>503</v>
      </c>
    </row>
    <row r="5" spans="1:11" ht="15">
      <c r="A5" s="2009">
        <v>2008</v>
      </c>
      <c r="B5" s="2010">
        <v>1</v>
      </c>
      <c r="C5" s="1079">
        <v>1</v>
      </c>
      <c r="D5" s="276">
        <v>344779792</v>
      </c>
      <c r="E5" s="276">
        <f>D5</f>
        <v>344779792</v>
      </c>
      <c r="F5" s="276">
        <f>E5*$I$5/2</f>
        <v>3447797.92</v>
      </c>
      <c r="G5" s="276">
        <f>-F5</f>
        <v>-3447797.92</v>
      </c>
      <c r="H5" s="2011">
        <f>G5+G6</f>
        <v>-10343393.76</v>
      </c>
      <c r="I5" s="277">
        <v>0.02</v>
      </c>
    </row>
    <row r="6" spans="1:11" ht="15">
      <c r="A6" s="2009"/>
      <c r="B6" s="2010"/>
      <c r="C6" s="1079">
        <f t="shared" ref="C6:C69" si="0">C5+1</f>
        <v>2</v>
      </c>
      <c r="D6" s="276">
        <f>D5</f>
        <v>344779792</v>
      </c>
      <c r="E6" s="276">
        <f t="shared" ref="E6:E14" si="1">D6+E5</f>
        <v>689559584</v>
      </c>
      <c r="F6" s="276">
        <f>E6*$I$5/2</f>
        <v>6895595.8399999999</v>
      </c>
      <c r="G6" s="276">
        <f>-F6</f>
        <v>-6895595.8399999999</v>
      </c>
      <c r="H6" s="2011"/>
      <c r="I6" s="1080"/>
      <c r="K6" s="791"/>
    </row>
    <row r="7" spans="1:11" ht="15">
      <c r="A7" s="2009">
        <v>2009</v>
      </c>
      <c r="B7" s="2010">
        <v>2</v>
      </c>
      <c r="C7" s="1079">
        <f t="shared" si="0"/>
        <v>3</v>
      </c>
      <c r="D7" s="276">
        <v>269815030</v>
      </c>
      <c r="E7" s="276">
        <f t="shared" si="1"/>
        <v>959374614</v>
      </c>
      <c r="F7" s="276">
        <f t="shared" ref="F7:F70" si="2">E7*$I$5/2</f>
        <v>9593746.1400000006</v>
      </c>
      <c r="G7" s="276">
        <f t="shared" ref="G7:G24" si="3">-F7</f>
        <v>-9593746.1400000006</v>
      </c>
      <c r="H7" s="2011">
        <f>G7+G8</f>
        <v>-21885642.579999998</v>
      </c>
      <c r="I7" s="1080"/>
    </row>
    <row r="8" spans="1:11" ht="15">
      <c r="A8" s="2009"/>
      <c r="B8" s="2010"/>
      <c r="C8" s="1079">
        <f t="shared" si="0"/>
        <v>4</v>
      </c>
      <c r="D8" s="276">
        <f>D7</f>
        <v>269815030</v>
      </c>
      <c r="E8" s="276">
        <f t="shared" si="1"/>
        <v>1229189644</v>
      </c>
      <c r="F8" s="276">
        <f t="shared" si="2"/>
        <v>12291896.439999999</v>
      </c>
      <c r="G8" s="276">
        <f t="shared" si="3"/>
        <v>-12291896.439999999</v>
      </c>
      <c r="H8" s="2011"/>
      <c r="I8" s="1080"/>
    </row>
    <row r="9" spans="1:11" ht="15">
      <c r="A9" s="2009">
        <v>2010</v>
      </c>
      <c r="B9" s="2010">
        <v>3</v>
      </c>
      <c r="C9" s="1079">
        <f t="shared" si="0"/>
        <v>5</v>
      </c>
      <c r="D9" s="276">
        <v>328030782</v>
      </c>
      <c r="E9" s="276">
        <f t="shared" si="1"/>
        <v>1557220426</v>
      </c>
      <c r="F9" s="276">
        <f t="shared" si="2"/>
        <v>15572204.26</v>
      </c>
      <c r="G9" s="276">
        <f t="shared" si="3"/>
        <v>-15572204.26</v>
      </c>
      <c r="H9" s="2011">
        <f>G9+G10</f>
        <v>-34424716.340000004</v>
      </c>
      <c r="I9" s="1080"/>
    </row>
    <row r="10" spans="1:11" ht="15">
      <c r="A10" s="2009"/>
      <c r="B10" s="2010"/>
      <c r="C10" s="1079">
        <f t="shared" si="0"/>
        <v>6</v>
      </c>
      <c r="D10" s="276">
        <f>D9</f>
        <v>328030782</v>
      </c>
      <c r="E10" s="276">
        <f t="shared" si="1"/>
        <v>1885251208</v>
      </c>
      <c r="F10" s="276">
        <f t="shared" si="2"/>
        <v>18852512.080000002</v>
      </c>
      <c r="G10" s="276">
        <f t="shared" si="3"/>
        <v>-18852512.080000002</v>
      </c>
      <c r="H10" s="2011"/>
      <c r="I10" s="1080"/>
      <c r="K10" s="1084"/>
    </row>
    <row r="11" spans="1:11" ht="15">
      <c r="A11" s="2009">
        <v>2011</v>
      </c>
      <c r="B11" s="2010">
        <v>4</v>
      </c>
      <c r="C11" s="1079">
        <f t="shared" si="0"/>
        <v>7</v>
      </c>
      <c r="D11" s="276">
        <v>130849225</v>
      </c>
      <c r="E11" s="276">
        <f t="shared" si="1"/>
        <v>2016100433</v>
      </c>
      <c r="F11" s="276">
        <f t="shared" si="2"/>
        <v>20161004.330000002</v>
      </c>
      <c r="G11" s="276">
        <f t="shared" si="3"/>
        <v>-20161004.330000002</v>
      </c>
      <c r="H11" s="2011">
        <f>G11+G12</f>
        <v>-41630500.910000004</v>
      </c>
      <c r="I11" s="1080"/>
    </row>
    <row r="12" spans="1:11" ht="15">
      <c r="A12" s="2009"/>
      <c r="B12" s="2010"/>
      <c r="C12" s="1079">
        <f t="shared" si="0"/>
        <v>8</v>
      </c>
      <c r="D12" s="276">
        <f>D11</f>
        <v>130849225</v>
      </c>
      <c r="E12" s="276">
        <f t="shared" si="1"/>
        <v>2146949658</v>
      </c>
      <c r="F12" s="276">
        <f t="shared" si="2"/>
        <v>21469496.580000002</v>
      </c>
      <c r="G12" s="276">
        <f t="shared" si="3"/>
        <v>-21469496.580000002</v>
      </c>
      <c r="H12" s="2011"/>
      <c r="I12" s="1080"/>
    </row>
    <row r="13" spans="1:11" ht="15">
      <c r="A13" s="2009">
        <v>2012</v>
      </c>
      <c r="B13" s="2010">
        <v>5</v>
      </c>
      <c r="C13" s="1079">
        <f t="shared" si="0"/>
        <v>9</v>
      </c>
      <c r="D13" s="276">
        <v>95894357</v>
      </c>
      <c r="E13" s="276">
        <f t="shared" si="1"/>
        <v>2242844015</v>
      </c>
      <c r="F13" s="276">
        <f t="shared" si="2"/>
        <v>22428440.150000002</v>
      </c>
      <c r="G13" s="276">
        <f t="shared" si="3"/>
        <v>-22428440.150000002</v>
      </c>
      <c r="H13" s="2011">
        <f>G13+G14</f>
        <v>-45815823.870000005</v>
      </c>
      <c r="I13" s="1080"/>
    </row>
    <row r="14" spans="1:11" ht="15">
      <c r="A14" s="2009"/>
      <c r="B14" s="2010"/>
      <c r="C14" s="1079">
        <f t="shared" si="0"/>
        <v>10</v>
      </c>
      <c r="D14" s="276">
        <f>D13</f>
        <v>95894357</v>
      </c>
      <c r="E14" s="276">
        <f t="shared" si="1"/>
        <v>2338738372</v>
      </c>
      <c r="F14" s="276">
        <f t="shared" si="2"/>
        <v>23387383.719999999</v>
      </c>
      <c r="G14" s="276">
        <f t="shared" si="3"/>
        <v>-23387383.719999999</v>
      </c>
      <c r="H14" s="2011"/>
      <c r="I14" s="1080"/>
    </row>
    <row r="15" spans="1:11" ht="15">
      <c r="A15" s="2009">
        <v>2013</v>
      </c>
      <c r="B15" s="2010">
        <v>6</v>
      </c>
      <c r="C15" s="1079">
        <f t="shared" si="0"/>
        <v>11</v>
      </c>
      <c r="D15" s="276"/>
      <c r="E15" s="276">
        <f>D15+E14+F14+G14</f>
        <v>2338738372</v>
      </c>
      <c r="F15" s="276">
        <f t="shared" si="2"/>
        <v>23387383.719999999</v>
      </c>
      <c r="G15" s="276">
        <f t="shared" si="3"/>
        <v>-23387383.719999999</v>
      </c>
      <c r="H15" s="2011">
        <f>G15+G16</f>
        <v>-46774767.439999998</v>
      </c>
      <c r="I15" s="1080"/>
    </row>
    <row r="16" spans="1:11" ht="15">
      <c r="A16" s="2009"/>
      <c r="B16" s="2010"/>
      <c r="C16" s="1079">
        <f t="shared" si="0"/>
        <v>12</v>
      </c>
      <c r="D16" s="276"/>
      <c r="E16" s="276">
        <f t="shared" ref="E16:E79" si="4">D16+E15+F15+G15</f>
        <v>2338738372</v>
      </c>
      <c r="F16" s="276">
        <f t="shared" si="2"/>
        <v>23387383.719999999</v>
      </c>
      <c r="G16" s="276">
        <f t="shared" si="3"/>
        <v>-23387383.719999999</v>
      </c>
      <c r="H16" s="2011"/>
      <c r="I16" s="1080"/>
    </row>
    <row r="17" spans="1:11" ht="15">
      <c r="A17" s="2009">
        <v>2014</v>
      </c>
      <c r="B17" s="2010">
        <v>7</v>
      </c>
      <c r="C17" s="1079">
        <f t="shared" si="0"/>
        <v>13</v>
      </c>
      <c r="D17" s="276"/>
      <c r="E17" s="276">
        <f t="shared" si="4"/>
        <v>2338738372</v>
      </c>
      <c r="F17" s="276">
        <f t="shared" si="2"/>
        <v>23387383.719999999</v>
      </c>
      <c r="G17" s="276">
        <f t="shared" si="3"/>
        <v>-23387383.719999999</v>
      </c>
      <c r="H17" s="2011">
        <f>G17+G18</f>
        <v>-46774767.439999998</v>
      </c>
      <c r="I17" s="1080"/>
    </row>
    <row r="18" spans="1:11" ht="15">
      <c r="A18" s="2009"/>
      <c r="B18" s="2010"/>
      <c r="C18" s="1079">
        <f t="shared" si="0"/>
        <v>14</v>
      </c>
      <c r="D18" s="276"/>
      <c r="E18" s="276">
        <f t="shared" si="4"/>
        <v>2338738372</v>
      </c>
      <c r="F18" s="276">
        <f t="shared" si="2"/>
        <v>23387383.719999999</v>
      </c>
      <c r="G18" s="276">
        <f t="shared" si="3"/>
        <v>-23387383.719999999</v>
      </c>
      <c r="H18" s="2011"/>
      <c r="I18" s="1080"/>
    </row>
    <row r="19" spans="1:11" ht="15">
      <c r="A19" s="2009">
        <v>2015</v>
      </c>
      <c r="B19" s="2010">
        <v>8</v>
      </c>
      <c r="C19" s="1079">
        <f t="shared" si="0"/>
        <v>15</v>
      </c>
      <c r="D19" s="276"/>
      <c r="E19" s="276">
        <f t="shared" si="4"/>
        <v>2338738372</v>
      </c>
      <c r="F19" s="276">
        <f t="shared" si="2"/>
        <v>23387383.719999999</v>
      </c>
      <c r="G19" s="276">
        <f t="shared" si="3"/>
        <v>-23387383.719999999</v>
      </c>
      <c r="H19" s="2011">
        <f>G19+G20</f>
        <v>-46774767.439999998</v>
      </c>
      <c r="I19" s="1080"/>
    </row>
    <row r="20" spans="1:11" ht="15">
      <c r="A20" s="2009"/>
      <c r="B20" s="2010"/>
      <c r="C20" s="1079">
        <f t="shared" si="0"/>
        <v>16</v>
      </c>
      <c r="D20" s="276"/>
      <c r="E20" s="276">
        <f t="shared" si="4"/>
        <v>2338738372</v>
      </c>
      <c r="F20" s="276">
        <f t="shared" si="2"/>
        <v>23387383.719999999</v>
      </c>
      <c r="G20" s="276">
        <f t="shared" si="3"/>
        <v>-23387383.719999999</v>
      </c>
      <c r="H20" s="2011"/>
      <c r="I20" s="1080"/>
    </row>
    <row r="21" spans="1:11" ht="15">
      <c r="A21" s="2009">
        <v>2016</v>
      </c>
      <c r="B21" s="2010">
        <v>9</v>
      </c>
      <c r="C21" s="1079">
        <f t="shared" si="0"/>
        <v>17</v>
      </c>
      <c r="D21" s="276"/>
      <c r="E21" s="276">
        <f>D21+E20+F20+G20</f>
        <v>2338738372</v>
      </c>
      <c r="F21" s="276">
        <v>17904561</v>
      </c>
      <c r="G21" s="276">
        <f t="shared" si="3"/>
        <v>-17904561</v>
      </c>
      <c r="H21" s="2011">
        <f>G21+G22</f>
        <v>-41291944.719999999</v>
      </c>
      <c r="I21" s="1080"/>
    </row>
    <row r="22" spans="1:11" ht="15">
      <c r="A22" s="2009"/>
      <c r="B22" s="2010"/>
      <c r="C22" s="1079">
        <f t="shared" si="0"/>
        <v>18</v>
      </c>
      <c r="D22" s="276"/>
      <c r="E22" s="276">
        <f>D22+E21+F21+G21</f>
        <v>2338738372</v>
      </c>
      <c r="F22" s="276">
        <f t="shared" si="2"/>
        <v>23387383.719999999</v>
      </c>
      <c r="G22" s="276">
        <f t="shared" si="3"/>
        <v>-23387383.719999999</v>
      </c>
      <c r="H22" s="2011"/>
      <c r="I22" s="1080"/>
    </row>
    <row r="23" spans="1:11" ht="15">
      <c r="A23" s="2009">
        <v>2017</v>
      </c>
      <c r="B23" s="2010">
        <v>10</v>
      </c>
      <c r="C23" s="1079">
        <f t="shared" si="0"/>
        <v>19</v>
      </c>
      <c r="D23" s="276"/>
      <c r="E23" s="276">
        <f t="shared" si="4"/>
        <v>2338738372</v>
      </c>
      <c r="F23" s="276">
        <f t="shared" si="2"/>
        <v>23387383.719999999</v>
      </c>
      <c r="G23" s="276">
        <f t="shared" si="3"/>
        <v>-23387383.719999999</v>
      </c>
      <c r="H23" s="2011">
        <f>G23+G24</f>
        <v>-46774767.439999998</v>
      </c>
      <c r="I23" s="1080"/>
    </row>
    <row r="24" spans="1:11" ht="15">
      <c r="A24" s="2009"/>
      <c r="B24" s="2010"/>
      <c r="C24" s="1079">
        <f t="shared" si="0"/>
        <v>20</v>
      </c>
      <c r="D24" s="276"/>
      <c r="E24" s="276">
        <f t="shared" si="4"/>
        <v>2338738372</v>
      </c>
      <c r="F24" s="276">
        <f t="shared" si="2"/>
        <v>23387383.719999999</v>
      </c>
      <c r="G24" s="276">
        <f t="shared" si="3"/>
        <v>-23387383.719999999</v>
      </c>
      <c r="H24" s="2011"/>
      <c r="I24" s="1080"/>
      <c r="J24" s="763" t="s">
        <v>507</v>
      </c>
    </row>
    <row r="25" spans="1:11" ht="15">
      <c r="A25" s="2009">
        <v>2018</v>
      </c>
      <c r="B25" s="2010">
        <v>11</v>
      </c>
      <c r="C25" s="1079">
        <f t="shared" si="0"/>
        <v>21</v>
      </c>
      <c r="D25" s="276"/>
      <c r="E25" s="276">
        <f t="shared" si="4"/>
        <v>2338738372</v>
      </c>
      <c r="F25" s="276">
        <f t="shared" si="2"/>
        <v>23387383.719999999</v>
      </c>
      <c r="G25" s="276">
        <f>-F25-J25</f>
        <v>-46774767.719999999</v>
      </c>
      <c r="H25" s="2011">
        <f>G25+G26</f>
        <v>-93315661.599999994</v>
      </c>
      <c r="I25" s="1080"/>
      <c r="J25" s="1092">
        <v>23387384</v>
      </c>
    </row>
    <row r="26" spans="1:11" ht="15">
      <c r="A26" s="2009"/>
      <c r="B26" s="2010"/>
      <c r="C26" s="1079">
        <f t="shared" si="0"/>
        <v>22</v>
      </c>
      <c r="D26" s="276"/>
      <c r="E26" s="276">
        <f t="shared" si="4"/>
        <v>2315350988</v>
      </c>
      <c r="F26" s="276">
        <f t="shared" si="2"/>
        <v>23153509.879999999</v>
      </c>
      <c r="G26" s="276">
        <f>-F26-J26</f>
        <v>-46540893.879999995</v>
      </c>
      <c r="H26" s="2011"/>
      <c r="I26" s="1080"/>
      <c r="J26" s="1092">
        <v>23387384</v>
      </c>
      <c r="K26" s="1092">
        <f>J25+J26</f>
        <v>46774768</v>
      </c>
    </row>
    <row r="27" spans="1:11" ht="15">
      <c r="A27" s="2009">
        <v>2019</v>
      </c>
      <c r="B27" s="2010">
        <v>12</v>
      </c>
      <c r="C27" s="1079">
        <f t="shared" si="0"/>
        <v>23</v>
      </c>
      <c r="D27" s="276"/>
      <c r="E27" s="276">
        <f t="shared" si="4"/>
        <v>2291963604</v>
      </c>
      <c r="F27" s="276">
        <f t="shared" si="2"/>
        <v>22919636.039999999</v>
      </c>
      <c r="G27" s="276">
        <f t="shared" ref="G27:G84" si="5">-F27-J27</f>
        <v>-46307020.039999999</v>
      </c>
      <c r="H27" s="2011">
        <f>G27+G28</f>
        <v>-92380166.24000001</v>
      </c>
      <c r="I27" s="1080"/>
      <c r="J27" s="1092">
        <v>23387384</v>
      </c>
      <c r="K27" s="1092">
        <f t="shared" ref="K27:K84" si="6">J26+J27</f>
        <v>46774768</v>
      </c>
    </row>
    <row r="28" spans="1:11" ht="15">
      <c r="A28" s="2009"/>
      <c r="B28" s="2010"/>
      <c r="C28" s="1079">
        <f t="shared" si="0"/>
        <v>24</v>
      </c>
      <c r="D28" s="276"/>
      <c r="E28" s="276">
        <f t="shared" si="4"/>
        <v>2268576220</v>
      </c>
      <c r="F28" s="276">
        <f t="shared" si="2"/>
        <v>22685762.199999999</v>
      </c>
      <c r="G28" s="276">
        <f t="shared" si="5"/>
        <v>-46073146.200000003</v>
      </c>
      <c r="H28" s="2011"/>
      <c r="I28" s="1080"/>
      <c r="J28" s="1092">
        <v>23387384</v>
      </c>
      <c r="K28" s="1092">
        <f t="shared" si="6"/>
        <v>46774768</v>
      </c>
    </row>
    <row r="29" spans="1:11" ht="15">
      <c r="A29" s="2009">
        <v>2020</v>
      </c>
      <c r="B29" s="2010">
        <v>13</v>
      </c>
      <c r="C29" s="1079">
        <f t="shared" si="0"/>
        <v>25</v>
      </c>
      <c r="D29" s="276"/>
      <c r="E29" s="276">
        <f t="shared" si="4"/>
        <v>2245188836</v>
      </c>
      <c r="F29" s="276">
        <f t="shared" si="2"/>
        <v>22451888.359999999</v>
      </c>
      <c r="G29" s="276">
        <f t="shared" si="5"/>
        <v>-45839272.359999999</v>
      </c>
      <c r="H29" s="2011">
        <f>G29+G30</f>
        <v>-91444670.879999995</v>
      </c>
      <c r="I29" s="1080"/>
      <c r="J29" s="1092">
        <v>23387384</v>
      </c>
      <c r="K29" s="1092">
        <f t="shared" si="6"/>
        <v>46774768</v>
      </c>
    </row>
    <row r="30" spans="1:11" ht="15">
      <c r="A30" s="2009"/>
      <c r="B30" s="2010"/>
      <c r="C30" s="1079">
        <f t="shared" si="0"/>
        <v>26</v>
      </c>
      <c r="D30" s="276"/>
      <c r="E30" s="276">
        <f t="shared" si="4"/>
        <v>2221801452</v>
      </c>
      <c r="F30" s="276">
        <f t="shared" si="2"/>
        <v>22218014.52</v>
      </c>
      <c r="G30" s="276">
        <f t="shared" si="5"/>
        <v>-45605398.519999996</v>
      </c>
      <c r="H30" s="2011"/>
      <c r="I30" s="1080"/>
      <c r="J30" s="1092">
        <v>23387384</v>
      </c>
      <c r="K30" s="1092">
        <f t="shared" si="6"/>
        <v>46774768</v>
      </c>
    </row>
    <row r="31" spans="1:11" ht="15">
      <c r="A31" s="2009">
        <v>2021</v>
      </c>
      <c r="B31" s="2010">
        <v>14</v>
      </c>
      <c r="C31" s="1079">
        <f t="shared" si="0"/>
        <v>27</v>
      </c>
      <c r="D31" s="276"/>
      <c r="E31" s="276">
        <f t="shared" si="4"/>
        <v>2198414068</v>
      </c>
      <c r="F31" s="276">
        <f t="shared" si="2"/>
        <v>21984140.68</v>
      </c>
      <c r="G31" s="276">
        <f t="shared" si="5"/>
        <v>-45371524.68</v>
      </c>
      <c r="H31" s="2011">
        <f>G31+G32</f>
        <v>-90509175.520000011</v>
      </c>
      <c r="I31" s="1080"/>
      <c r="J31" s="1092">
        <v>23387384</v>
      </c>
      <c r="K31" s="1092">
        <f t="shared" si="6"/>
        <v>46774768</v>
      </c>
    </row>
    <row r="32" spans="1:11" ht="15">
      <c r="A32" s="2009"/>
      <c r="B32" s="2010"/>
      <c r="C32" s="1079">
        <f t="shared" si="0"/>
        <v>28</v>
      </c>
      <c r="D32" s="276"/>
      <c r="E32" s="276">
        <f t="shared" si="4"/>
        <v>2175026684</v>
      </c>
      <c r="F32" s="276">
        <f t="shared" si="2"/>
        <v>21750266.84</v>
      </c>
      <c r="G32" s="276">
        <f t="shared" si="5"/>
        <v>-45137650.840000004</v>
      </c>
      <c r="H32" s="2011"/>
      <c r="I32" s="1080"/>
      <c r="J32" s="1092">
        <v>23387384</v>
      </c>
      <c r="K32" s="1092">
        <f t="shared" si="6"/>
        <v>46774768</v>
      </c>
    </row>
    <row r="33" spans="1:11" ht="15">
      <c r="A33" s="2009">
        <v>2022</v>
      </c>
      <c r="B33" s="2010">
        <v>15</v>
      </c>
      <c r="C33" s="1079">
        <f t="shared" si="0"/>
        <v>29</v>
      </c>
      <c r="D33" s="276"/>
      <c r="E33" s="276">
        <f t="shared" si="4"/>
        <v>2151639300</v>
      </c>
      <c r="F33" s="276">
        <f t="shared" si="2"/>
        <v>21516393</v>
      </c>
      <c r="G33" s="276">
        <f t="shared" si="5"/>
        <v>-44903777</v>
      </c>
      <c r="H33" s="2011">
        <f>G33+G34</f>
        <v>-89573680.159999996</v>
      </c>
      <c r="I33" s="1080"/>
      <c r="J33" s="1092">
        <v>23387384</v>
      </c>
      <c r="K33" s="1092">
        <f t="shared" si="6"/>
        <v>46774768</v>
      </c>
    </row>
    <row r="34" spans="1:11" ht="15">
      <c r="A34" s="2009"/>
      <c r="B34" s="2010"/>
      <c r="C34" s="1079">
        <f t="shared" si="0"/>
        <v>30</v>
      </c>
      <c r="D34" s="276"/>
      <c r="E34" s="276">
        <f t="shared" si="4"/>
        <v>2128251916</v>
      </c>
      <c r="F34" s="276">
        <f t="shared" si="2"/>
        <v>21282519.16</v>
      </c>
      <c r="G34" s="276">
        <f t="shared" si="5"/>
        <v>-44669903.159999996</v>
      </c>
      <c r="H34" s="2011"/>
      <c r="I34" s="1080"/>
      <c r="J34" s="1092">
        <v>23387384</v>
      </c>
      <c r="K34" s="1092">
        <f t="shared" si="6"/>
        <v>46774768</v>
      </c>
    </row>
    <row r="35" spans="1:11" ht="15">
      <c r="A35" s="2009">
        <v>2023</v>
      </c>
      <c r="B35" s="2010">
        <v>16</v>
      </c>
      <c r="C35" s="1079">
        <v>31</v>
      </c>
      <c r="D35" s="276"/>
      <c r="E35" s="276">
        <f t="shared" si="4"/>
        <v>2104864531.9999998</v>
      </c>
      <c r="F35" s="276">
        <f t="shared" si="2"/>
        <v>21048645.319999997</v>
      </c>
      <c r="G35" s="276">
        <f t="shared" si="5"/>
        <v>-44436029.319999993</v>
      </c>
      <c r="H35" s="2011">
        <f t="shared" ref="H35:H83" si="7">G35+G36</f>
        <v>-88638184.799999982</v>
      </c>
      <c r="I35" s="1080"/>
      <c r="J35" s="1092">
        <v>23387384</v>
      </c>
      <c r="K35" s="1092">
        <f t="shared" si="6"/>
        <v>46774768</v>
      </c>
    </row>
    <row r="36" spans="1:11" ht="15">
      <c r="A36" s="2009"/>
      <c r="B36" s="2010"/>
      <c r="C36" s="1079">
        <f t="shared" si="0"/>
        <v>32</v>
      </c>
      <c r="D36" s="276"/>
      <c r="E36" s="276">
        <f t="shared" si="4"/>
        <v>2081477147.9999998</v>
      </c>
      <c r="F36" s="276">
        <f t="shared" si="2"/>
        <v>20814771.479999997</v>
      </c>
      <c r="G36" s="276">
        <f t="shared" si="5"/>
        <v>-44202155.479999997</v>
      </c>
      <c r="H36" s="2011"/>
      <c r="I36" s="1080"/>
      <c r="J36" s="1092">
        <v>23387384</v>
      </c>
      <c r="K36" s="1092">
        <f t="shared" si="6"/>
        <v>46774768</v>
      </c>
    </row>
    <row r="37" spans="1:11" ht="15">
      <c r="A37" s="2009">
        <v>2024</v>
      </c>
      <c r="B37" s="2010">
        <v>17</v>
      </c>
      <c r="C37" s="1079">
        <f t="shared" si="0"/>
        <v>33</v>
      </c>
      <c r="D37" s="276"/>
      <c r="E37" s="276">
        <f t="shared" si="4"/>
        <v>2058089763.9999998</v>
      </c>
      <c r="F37" s="276">
        <f t="shared" si="2"/>
        <v>20580897.639999997</v>
      </c>
      <c r="G37" s="276">
        <f t="shared" si="5"/>
        <v>-43968281.640000001</v>
      </c>
      <c r="H37" s="2011">
        <f t="shared" si="7"/>
        <v>-87702689.439999998</v>
      </c>
      <c r="I37" s="1080"/>
      <c r="J37" s="1092">
        <v>23387384</v>
      </c>
      <c r="K37" s="1092">
        <f t="shared" si="6"/>
        <v>46774768</v>
      </c>
    </row>
    <row r="38" spans="1:11" ht="15">
      <c r="A38" s="2009"/>
      <c r="B38" s="2010"/>
      <c r="C38" s="1079">
        <f t="shared" si="0"/>
        <v>34</v>
      </c>
      <c r="D38" s="276"/>
      <c r="E38" s="276">
        <f t="shared" si="4"/>
        <v>2034702379.9999998</v>
      </c>
      <c r="F38" s="276">
        <f t="shared" si="2"/>
        <v>20347023.799999997</v>
      </c>
      <c r="G38" s="276">
        <f t="shared" si="5"/>
        <v>-43734407.799999997</v>
      </c>
      <c r="H38" s="2011"/>
      <c r="I38" s="1080"/>
      <c r="J38" s="1092">
        <v>23387384</v>
      </c>
      <c r="K38" s="1092">
        <f t="shared" si="6"/>
        <v>46774768</v>
      </c>
    </row>
    <row r="39" spans="1:11" ht="15">
      <c r="A39" s="2009">
        <v>2025</v>
      </c>
      <c r="B39" s="2010">
        <v>18</v>
      </c>
      <c r="C39" s="1079">
        <f t="shared" si="0"/>
        <v>35</v>
      </c>
      <c r="D39" s="276"/>
      <c r="E39" s="276">
        <f t="shared" si="4"/>
        <v>2011314995.9999998</v>
      </c>
      <c r="F39" s="276">
        <f t="shared" si="2"/>
        <v>20113149.959999997</v>
      </c>
      <c r="G39" s="276">
        <f t="shared" si="5"/>
        <v>-43500533.959999993</v>
      </c>
      <c r="H39" s="2011">
        <f t="shared" si="7"/>
        <v>-86767194.079999983</v>
      </c>
      <c r="I39" s="1080"/>
      <c r="J39" s="1092">
        <v>23387384</v>
      </c>
      <c r="K39" s="1092">
        <f t="shared" si="6"/>
        <v>46774768</v>
      </c>
    </row>
    <row r="40" spans="1:11" ht="15">
      <c r="A40" s="2009"/>
      <c r="B40" s="2010"/>
      <c r="C40" s="1079">
        <f t="shared" si="0"/>
        <v>36</v>
      </c>
      <c r="D40" s="276"/>
      <c r="E40" s="276">
        <f t="shared" si="4"/>
        <v>1987927611.9999998</v>
      </c>
      <c r="F40" s="276">
        <f t="shared" si="2"/>
        <v>19879276.119999997</v>
      </c>
      <c r="G40" s="276">
        <f t="shared" si="5"/>
        <v>-43266660.119999997</v>
      </c>
      <c r="H40" s="2011"/>
      <c r="I40" s="1080"/>
      <c r="J40" s="1092">
        <v>23387384</v>
      </c>
      <c r="K40" s="1092">
        <f t="shared" si="6"/>
        <v>46774768</v>
      </c>
    </row>
    <row r="41" spans="1:11" ht="15">
      <c r="A41" s="2009">
        <v>2026</v>
      </c>
      <c r="B41" s="2010">
        <v>19</v>
      </c>
      <c r="C41" s="1079">
        <f t="shared" si="0"/>
        <v>37</v>
      </c>
      <c r="D41" s="276"/>
      <c r="E41" s="276">
        <f t="shared" si="4"/>
        <v>1964540227.9999998</v>
      </c>
      <c r="F41" s="276">
        <f t="shared" si="2"/>
        <v>19645402.279999997</v>
      </c>
      <c r="G41" s="276">
        <f t="shared" si="5"/>
        <v>-43032786.280000001</v>
      </c>
      <c r="H41" s="2011">
        <f t="shared" si="7"/>
        <v>-85831698.719999999</v>
      </c>
      <c r="I41" s="1080"/>
      <c r="J41" s="1092">
        <v>23387384</v>
      </c>
      <c r="K41" s="1092">
        <f t="shared" si="6"/>
        <v>46774768</v>
      </c>
    </row>
    <row r="42" spans="1:11" ht="15">
      <c r="A42" s="2009"/>
      <c r="B42" s="2010"/>
      <c r="C42" s="1079">
        <f t="shared" si="0"/>
        <v>38</v>
      </c>
      <c r="D42" s="276"/>
      <c r="E42" s="276">
        <f t="shared" si="4"/>
        <v>1941152843.9999998</v>
      </c>
      <c r="F42" s="276">
        <f t="shared" si="2"/>
        <v>19411528.439999998</v>
      </c>
      <c r="G42" s="276">
        <f t="shared" si="5"/>
        <v>-42798912.439999998</v>
      </c>
      <c r="H42" s="2011"/>
      <c r="I42" s="1080"/>
      <c r="J42" s="1092">
        <v>23387384</v>
      </c>
      <c r="K42" s="1092">
        <f t="shared" si="6"/>
        <v>46774768</v>
      </c>
    </row>
    <row r="43" spans="1:11" ht="15">
      <c r="A43" s="2009">
        <v>2027</v>
      </c>
      <c r="B43" s="2010">
        <v>20</v>
      </c>
      <c r="C43" s="1079">
        <f t="shared" si="0"/>
        <v>39</v>
      </c>
      <c r="D43" s="276"/>
      <c r="E43" s="276">
        <f>D43+E42+F42+G42</f>
        <v>1917765459.9999998</v>
      </c>
      <c r="F43" s="276">
        <f t="shared" si="2"/>
        <v>19177654.599999998</v>
      </c>
      <c r="G43" s="276">
        <f>-F43-J43</f>
        <v>-65952421.599999994</v>
      </c>
      <c r="H43" s="2011">
        <f t="shared" si="7"/>
        <v>-131437095.53</v>
      </c>
      <c r="I43" s="1080"/>
      <c r="J43" s="1092">
        <v>46774767</v>
      </c>
      <c r="K43" s="1092">
        <f t="shared" si="6"/>
        <v>70162151</v>
      </c>
    </row>
    <row r="44" spans="1:11" ht="15">
      <c r="A44" s="2009"/>
      <c r="B44" s="2010"/>
      <c r="C44" s="1079">
        <f t="shared" si="0"/>
        <v>40</v>
      </c>
      <c r="D44" s="276"/>
      <c r="E44" s="276">
        <f t="shared" si="4"/>
        <v>1870990692.9999998</v>
      </c>
      <c r="F44" s="276">
        <f t="shared" si="2"/>
        <v>18709906.93</v>
      </c>
      <c r="G44" s="276">
        <f t="shared" si="5"/>
        <v>-65484673.93</v>
      </c>
      <c r="H44" s="2011"/>
      <c r="I44" s="1080"/>
      <c r="J44" s="1092">
        <v>46774767</v>
      </c>
      <c r="K44" s="1092">
        <f t="shared" si="6"/>
        <v>93549534</v>
      </c>
    </row>
    <row r="45" spans="1:11" ht="15">
      <c r="A45" s="2009">
        <v>2028</v>
      </c>
      <c r="B45" s="2010">
        <v>21</v>
      </c>
      <c r="C45" s="1079">
        <f t="shared" si="0"/>
        <v>41</v>
      </c>
      <c r="D45" s="276"/>
      <c r="E45" s="276">
        <f t="shared" si="4"/>
        <v>1824215925.9999998</v>
      </c>
      <c r="F45" s="276">
        <f t="shared" si="2"/>
        <v>18242159.259999998</v>
      </c>
      <c r="G45" s="276">
        <f t="shared" si="5"/>
        <v>-65016926.259999998</v>
      </c>
      <c r="H45" s="2011">
        <f t="shared" si="7"/>
        <v>-129566104.84999999</v>
      </c>
      <c r="I45" s="1080"/>
      <c r="J45" s="1092">
        <v>46774767</v>
      </c>
      <c r="K45" s="1092">
        <f t="shared" si="6"/>
        <v>93549534</v>
      </c>
    </row>
    <row r="46" spans="1:11" ht="15">
      <c r="A46" s="2009"/>
      <c r="B46" s="2010"/>
      <c r="C46" s="1079">
        <f t="shared" si="0"/>
        <v>42</v>
      </c>
      <c r="D46" s="276"/>
      <c r="E46" s="276">
        <f t="shared" si="4"/>
        <v>1777441158.9999998</v>
      </c>
      <c r="F46" s="276">
        <f t="shared" si="2"/>
        <v>17774411.589999996</v>
      </c>
      <c r="G46" s="276">
        <f t="shared" si="5"/>
        <v>-64549178.589999996</v>
      </c>
      <c r="H46" s="2011"/>
      <c r="I46" s="1080"/>
      <c r="J46" s="1092">
        <v>46774767</v>
      </c>
      <c r="K46" s="1092">
        <f t="shared" si="6"/>
        <v>93549534</v>
      </c>
    </row>
    <row r="47" spans="1:11" ht="15">
      <c r="A47" s="2009">
        <v>2029</v>
      </c>
      <c r="B47" s="2010">
        <v>22</v>
      </c>
      <c r="C47" s="1079">
        <f t="shared" si="0"/>
        <v>43</v>
      </c>
      <c r="D47" s="276"/>
      <c r="E47" s="276">
        <f t="shared" si="4"/>
        <v>1730666391.9999998</v>
      </c>
      <c r="F47" s="276">
        <f t="shared" si="2"/>
        <v>17306663.919999998</v>
      </c>
      <c r="G47" s="276">
        <f t="shared" si="5"/>
        <v>-64081430.920000002</v>
      </c>
      <c r="H47" s="2011">
        <f t="shared" si="7"/>
        <v>-127695114.17</v>
      </c>
      <c r="I47" s="1080"/>
      <c r="J47" s="1092">
        <v>46774767</v>
      </c>
      <c r="K47" s="1092">
        <f t="shared" si="6"/>
        <v>93549534</v>
      </c>
    </row>
    <row r="48" spans="1:11" ht="15">
      <c r="A48" s="2009"/>
      <c r="B48" s="2010"/>
      <c r="C48" s="1079">
        <f t="shared" si="0"/>
        <v>44</v>
      </c>
      <c r="D48" s="276"/>
      <c r="E48" s="276">
        <f t="shared" si="4"/>
        <v>1683891624.9999998</v>
      </c>
      <c r="F48" s="276">
        <f t="shared" si="2"/>
        <v>16838916.249999996</v>
      </c>
      <c r="G48" s="276">
        <f t="shared" si="5"/>
        <v>-63613683.25</v>
      </c>
      <c r="H48" s="2011"/>
      <c r="I48" s="1080"/>
      <c r="J48" s="1092">
        <v>46774767</v>
      </c>
      <c r="K48" s="1092">
        <f t="shared" si="6"/>
        <v>93549534</v>
      </c>
    </row>
    <row r="49" spans="1:11" ht="15">
      <c r="A49" s="2009">
        <v>2030</v>
      </c>
      <c r="B49" s="2010">
        <v>23</v>
      </c>
      <c r="C49" s="1079">
        <f t="shared" si="0"/>
        <v>45</v>
      </c>
      <c r="D49" s="1079"/>
      <c r="E49" s="276">
        <f t="shared" si="4"/>
        <v>1637116857.9999998</v>
      </c>
      <c r="F49" s="276">
        <f t="shared" si="2"/>
        <v>16371168.579999998</v>
      </c>
      <c r="G49" s="276">
        <f t="shared" si="5"/>
        <v>-63145935.579999998</v>
      </c>
      <c r="H49" s="2011">
        <f t="shared" si="7"/>
        <v>-125824123.48999999</v>
      </c>
      <c r="I49" s="1080"/>
      <c r="J49" s="1092">
        <v>46774767</v>
      </c>
      <c r="K49" s="1092">
        <f t="shared" si="6"/>
        <v>93549534</v>
      </c>
    </row>
    <row r="50" spans="1:11" ht="15">
      <c r="A50" s="2009"/>
      <c r="B50" s="2010"/>
      <c r="C50" s="1079">
        <f t="shared" si="0"/>
        <v>46</v>
      </c>
      <c r="D50" s="1079"/>
      <c r="E50" s="276">
        <f t="shared" si="4"/>
        <v>1590342090.9999998</v>
      </c>
      <c r="F50" s="276">
        <f t="shared" si="2"/>
        <v>15903420.909999998</v>
      </c>
      <c r="G50" s="276">
        <f t="shared" si="5"/>
        <v>-62678187.909999996</v>
      </c>
      <c r="H50" s="2011"/>
      <c r="I50" s="1080"/>
      <c r="J50" s="1092">
        <v>46774767</v>
      </c>
      <c r="K50" s="1092">
        <f t="shared" si="6"/>
        <v>93549534</v>
      </c>
    </row>
    <row r="51" spans="1:11" ht="15">
      <c r="A51" s="2009">
        <v>2031</v>
      </c>
      <c r="B51" s="2010">
        <v>24</v>
      </c>
      <c r="C51" s="1079">
        <f t="shared" si="0"/>
        <v>47</v>
      </c>
      <c r="D51" s="276"/>
      <c r="E51" s="276">
        <f t="shared" si="4"/>
        <v>1543567323.9999998</v>
      </c>
      <c r="F51" s="276">
        <f t="shared" si="2"/>
        <v>15435673.239999998</v>
      </c>
      <c r="G51" s="276">
        <f t="shared" si="5"/>
        <v>-62210440.239999995</v>
      </c>
      <c r="H51" s="2011">
        <f t="shared" si="7"/>
        <v>-123953132.81</v>
      </c>
      <c r="I51" s="1080"/>
      <c r="J51" s="1092">
        <v>46774767</v>
      </c>
      <c r="K51" s="1092">
        <f t="shared" si="6"/>
        <v>93549534</v>
      </c>
    </row>
    <row r="52" spans="1:11" ht="15">
      <c r="A52" s="2009"/>
      <c r="B52" s="2010"/>
      <c r="C52" s="1079">
        <f t="shared" si="0"/>
        <v>48</v>
      </c>
      <c r="D52" s="276"/>
      <c r="E52" s="276">
        <f t="shared" si="4"/>
        <v>1496792556.9999998</v>
      </c>
      <c r="F52" s="276">
        <f t="shared" si="2"/>
        <v>14967925.569999998</v>
      </c>
      <c r="G52" s="276">
        <f t="shared" si="5"/>
        <v>-61742692.57</v>
      </c>
      <c r="H52" s="2011"/>
      <c r="I52" s="1080"/>
      <c r="J52" s="1092">
        <v>46774767</v>
      </c>
      <c r="K52" s="1092">
        <f t="shared" si="6"/>
        <v>93549534</v>
      </c>
    </row>
    <row r="53" spans="1:11" ht="15">
      <c r="A53" s="2009">
        <v>2032</v>
      </c>
      <c r="B53" s="2010">
        <v>25</v>
      </c>
      <c r="C53" s="1079">
        <f t="shared" si="0"/>
        <v>49</v>
      </c>
      <c r="D53" s="276"/>
      <c r="E53" s="276">
        <f t="shared" si="4"/>
        <v>1450017789.9999998</v>
      </c>
      <c r="F53" s="276">
        <f t="shared" si="2"/>
        <v>14500177.899999999</v>
      </c>
      <c r="G53" s="276">
        <f t="shared" si="5"/>
        <v>-61274944.899999999</v>
      </c>
      <c r="H53" s="2011">
        <f t="shared" si="7"/>
        <v>-122082142.13</v>
      </c>
      <c r="I53" s="1080"/>
      <c r="J53" s="1092">
        <v>46774767</v>
      </c>
      <c r="K53" s="1092">
        <f t="shared" si="6"/>
        <v>93549534</v>
      </c>
    </row>
    <row r="54" spans="1:11" ht="15">
      <c r="A54" s="2009"/>
      <c r="B54" s="2010"/>
      <c r="C54" s="1079">
        <f t="shared" si="0"/>
        <v>50</v>
      </c>
      <c r="D54" s="276"/>
      <c r="E54" s="276">
        <f t="shared" si="4"/>
        <v>1403243022.9999998</v>
      </c>
      <c r="F54" s="276">
        <f t="shared" si="2"/>
        <v>14032430.229999999</v>
      </c>
      <c r="G54" s="276">
        <f t="shared" si="5"/>
        <v>-60807197.229999997</v>
      </c>
      <c r="H54" s="2011"/>
      <c r="I54" s="1080"/>
      <c r="J54" s="1092">
        <v>46774767</v>
      </c>
      <c r="K54" s="1092">
        <f t="shared" si="6"/>
        <v>93549534</v>
      </c>
    </row>
    <row r="55" spans="1:11" ht="15">
      <c r="A55" s="2009">
        <v>2033</v>
      </c>
      <c r="B55" s="2010">
        <v>26</v>
      </c>
      <c r="C55" s="1079">
        <f t="shared" si="0"/>
        <v>51</v>
      </c>
      <c r="D55" s="276"/>
      <c r="E55" s="276">
        <f t="shared" si="4"/>
        <v>1356468255.9999998</v>
      </c>
      <c r="F55" s="276">
        <f t="shared" si="2"/>
        <v>13564682.559999999</v>
      </c>
      <c r="G55" s="276">
        <f t="shared" si="5"/>
        <v>-60339449.560000002</v>
      </c>
      <c r="H55" s="2011">
        <f t="shared" si="7"/>
        <v>-120211151.45</v>
      </c>
      <c r="I55" s="1080"/>
      <c r="J55" s="1092">
        <v>46774767</v>
      </c>
      <c r="K55" s="1092">
        <f t="shared" si="6"/>
        <v>93549534</v>
      </c>
    </row>
    <row r="56" spans="1:11" ht="15">
      <c r="A56" s="2009"/>
      <c r="B56" s="2010"/>
      <c r="C56" s="1079">
        <f t="shared" si="0"/>
        <v>52</v>
      </c>
      <c r="D56" s="276"/>
      <c r="E56" s="276">
        <f t="shared" si="4"/>
        <v>1309693488.9999998</v>
      </c>
      <c r="F56" s="276">
        <f t="shared" si="2"/>
        <v>13096934.889999999</v>
      </c>
      <c r="G56" s="276">
        <f t="shared" si="5"/>
        <v>-59871701.890000001</v>
      </c>
      <c r="H56" s="2011"/>
      <c r="I56" s="1080"/>
      <c r="J56" s="1092">
        <v>46774767</v>
      </c>
      <c r="K56" s="1092">
        <f t="shared" si="6"/>
        <v>93549534</v>
      </c>
    </row>
    <row r="57" spans="1:11" ht="15">
      <c r="A57" s="2009">
        <v>2034</v>
      </c>
      <c r="B57" s="2010">
        <v>27</v>
      </c>
      <c r="C57" s="1079">
        <f t="shared" si="0"/>
        <v>53</v>
      </c>
      <c r="D57" s="276"/>
      <c r="E57" s="276">
        <f t="shared" si="4"/>
        <v>1262918721.9999998</v>
      </c>
      <c r="F57" s="276">
        <f t="shared" si="2"/>
        <v>12629187.219999999</v>
      </c>
      <c r="G57" s="276">
        <f t="shared" si="5"/>
        <v>-59403954.219999999</v>
      </c>
      <c r="H57" s="2011">
        <f t="shared" si="7"/>
        <v>-118340160.77</v>
      </c>
      <c r="I57" s="1080"/>
      <c r="J57" s="1092">
        <v>46774767</v>
      </c>
      <c r="K57" s="1092">
        <f t="shared" si="6"/>
        <v>93549534</v>
      </c>
    </row>
    <row r="58" spans="1:11" ht="15">
      <c r="A58" s="2009"/>
      <c r="B58" s="2010"/>
      <c r="C58" s="1079">
        <f t="shared" si="0"/>
        <v>54</v>
      </c>
      <c r="D58" s="276"/>
      <c r="E58" s="276">
        <f t="shared" si="4"/>
        <v>1216143954.9999998</v>
      </c>
      <c r="F58" s="276">
        <f t="shared" si="2"/>
        <v>12161439.549999997</v>
      </c>
      <c r="G58" s="276">
        <f t="shared" si="5"/>
        <v>-58936206.549999997</v>
      </c>
      <c r="H58" s="2011"/>
      <c r="I58" s="1080"/>
      <c r="J58" s="1092">
        <v>46774767</v>
      </c>
      <c r="K58" s="1092">
        <f t="shared" si="6"/>
        <v>93549534</v>
      </c>
    </row>
    <row r="59" spans="1:11" ht="15">
      <c r="A59" s="2009">
        <v>2035</v>
      </c>
      <c r="B59" s="2010">
        <v>28</v>
      </c>
      <c r="C59" s="1079">
        <f t="shared" si="0"/>
        <v>55</v>
      </c>
      <c r="D59" s="276"/>
      <c r="E59" s="276">
        <f t="shared" si="4"/>
        <v>1169369187.9999998</v>
      </c>
      <c r="F59" s="276">
        <f t="shared" si="2"/>
        <v>11693691.879999997</v>
      </c>
      <c r="G59" s="276">
        <f t="shared" si="5"/>
        <v>-58468458.879999995</v>
      </c>
      <c r="H59" s="2011">
        <f t="shared" si="7"/>
        <v>-116469170.09</v>
      </c>
      <c r="I59" s="1080"/>
      <c r="J59" s="1092">
        <v>46774767</v>
      </c>
      <c r="K59" s="1092">
        <f t="shared" si="6"/>
        <v>93549534</v>
      </c>
    </row>
    <row r="60" spans="1:11" ht="15">
      <c r="A60" s="2009"/>
      <c r="B60" s="2010"/>
      <c r="C60" s="1079">
        <f t="shared" si="0"/>
        <v>56</v>
      </c>
      <c r="D60" s="276"/>
      <c r="E60" s="276">
        <f t="shared" si="4"/>
        <v>1122594421</v>
      </c>
      <c r="F60" s="276">
        <f t="shared" si="2"/>
        <v>11225944.210000001</v>
      </c>
      <c r="G60" s="276">
        <f t="shared" si="5"/>
        <v>-58000711.210000001</v>
      </c>
      <c r="H60" s="2011"/>
      <c r="I60" s="1080"/>
      <c r="J60" s="1092">
        <v>46774767</v>
      </c>
      <c r="K60" s="1092">
        <f t="shared" si="6"/>
        <v>93549534</v>
      </c>
    </row>
    <row r="61" spans="1:11" ht="15">
      <c r="A61" s="2009">
        <v>2036</v>
      </c>
      <c r="B61" s="2010">
        <v>29</v>
      </c>
      <c r="C61" s="1079">
        <f t="shared" si="0"/>
        <v>57</v>
      </c>
      <c r="D61" s="276"/>
      <c r="E61" s="276">
        <f t="shared" si="4"/>
        <v>1075819654</v>
      </c>
      <c r="F61" s="276">
        <f t="shared" si="2"/>
        <v>10758196.540000001</v>
      </c>
      <c r="G61" s="276">
        <f t="shared" si="5"/>
        <v>-57532963.539999999</v>
      </c>
      <c r="H61" s="2011">
        <f t="shared" si="7"/>
        <v>-114598179.41</v>
      </c>
      <c r="I61" s="1080"/>
      <c r="J61" s="1092">
        <v>46774767</v>
      </c>
      <c r="K61" s="1092">
        <f t="shared" si="6"/>
        <v>93549534</v>
      </c>
    </row>
    <row r="62" spans="1:11" ht="15">
      <c r="A62" s="2009"/>
      <c r="B62" s="2010"/>
      <c r="C62" s="1079">
        <f t="shared" si="0"/>
        <v>58</v>
      </c>
      <c r="D62" s="276"/>
      <c r="E62" s="276">
        <f t="shared" si="4"/>
        <v>1029044887</v>
      </c>
      <c r="F62" s="276">
        <f t="shared" si="2"/>
        <v>10290448.870000001</v>
      </c>
      <c r="G62" s="276">
        <f t="shared" si="5"/>
        <v>-57065215.870000005</v>
      </c>
      <c r="H62" s="2011"/>
      <c r="I62" s="1080"/>
      <c r="J62" s="1092">
        <v>46774767</v>
      </c>
      <c r="K62" s="1092">
        <f t="shared" si="6"/>
        <v>93549534</v>
      </c>
    </row>
    <row r="63" spans="1:11" ht="15">
      <c r="A63" s="2009">
        <v>2037</v>
      </c>
      <c r="B63" s="2010">
        <v>30</v>
      </c>
      <c r="C63" s="1079">
        <f t="shared" si="0"/>
        <v>59</v>
      </c>
      <c r="D63" s="276"/>
      <c r="E63" s="276">
        <f t="shared" si="4"/>
        <v>982270120</v>
      </c>
      <c r="F63" s="276">
        <f t="shared" si="2"/>
        <v>9822701.2000000011</v>
      </c>
      <c r="G63" s="276">
        <f t="shared" si="5"/>
        <v>-56597468.200000003</v>
      </c>
      <c r="H63" s="2011">
        <f t="shared" si="7"/>
        <v>-112727188.73</v>
      </c>
      <c r="I63" s="1080"/>
      <c r="J63" s="1092">
        <v>46774767</v>
      </c>
      <c r="K63" s="1092">
        <f t="shared" si="6"/>
        <v>93549534</v>
      </c>
    </row>
    <row r="64" spans="1:11" ht="15">
      <c r="A64" s="2009"/>
      <c r="B64" s="2010"/>
      <c r="C64" s="1079">
        <f t="shared" si="0"/>
        <v>60</v>
      </c>
      <c r="D64" s="276"/>
      <c r="E64" s="276">
        <f t="shared" si="4"/>
        <v>935495353</v>
      </c>
      <c r="F64" s="276">
        <f t="shared" si="2"/>
        <v>9354953.5299999993</v>
      </c>
      <c r="G64" s="276">
        <f t="shared" si="5"/>
        <v>-56129720.530000001</v>
      </c>
      <c r="H64" s="2011"/>
      <c r="I64" s="1080"/>
      <c r="J64" s="1092">
        <v>46774767</v>
      </c>
      <c r="K64" s="1092">
        <f t="shared" si="6"/>
        <v>93549534</v>
      </c>
    </row>
    <row r="65" spans="1:11" ht="15">
      <c r="A65" s="2009">
        <v>2038</v>
      </c>
      <c r="B65" s="2010">
        <v>31</v>
      </c>
      <c r="C65" s="1079">
        <f t="shared" si="0"/>
        <v>61</v>
      </c>
      <c r="D65" s="276"/>
      <c r="E65" s="276">
        <f t="shared" si="4"/>
        <v>888720586</v>
      </c>
      <c r="F65" s="276">
        <f t="shared" si="2"/>
        <v>8887205.8599999994</v>
      </c>
      <c r="G65" s="276">
        <f t="shared" si="5"/>
        <v>-55661972.859999999</v>
      </c>
      <c r="H65" s="2011">
        <f t="shared" si="7"/>
        <v>-110856198.05</v>
      </c>
      <c r="I65" s="1080"/>
      <c r="J65" s="1092">
        <v>46774767</v>
      </c>
      <c r="K65" s="1092">
        <f t="shared" si="6"/>
        <v>93549534</v>
      </c>
    </row>
    <row r="66" spans="1:11" ht="15">
      <c r="A66" s="2009"/>
      <c r="B66" s="2010"/>
      <c r="C66" s="1079">
        <f t="shared" si="0"/>
        <v>62</v>
      </c>
      <c r="D66" s="276"/>
      <c r="E66" s="276">
        <f t="shared" si="4"/>
        <v>841945819</v>
      </c>
      <c r="F66" s="276">
        <f t="shared" si="2"/>
        <v>8419458.1899999995</v>
      </c>
      <c r="G66" s="276">
        <f t="shared" si="5"/>
        <v>-55194225.189999998</v>
      </c>
      <c r="H66" s="2011"/>
      <c r="I66" s="1080"/>
      <c r="J66" s="1092">
        <v>46774767</v>
      </c>
      <c r="K66" s="1092">
        <f t="shared" si="6"/>
        <v>93549534</v>
      </c>
    </row>
    <row r="67" spans="1:11" ht="15">
      <c r="A67" s="2009">
        <v>2039</v>
      </c>
      <c r="B67" s="2010">
        <v>32</v>
      </c>
      <c r="C67" s="1079">
        <f t="shared" si="0"/>
        <v>63</v>
      </c>
      <c r="D67" s="276"/>
      <c r="E67" s="276">
        <f t="shared" si="4"/>
        <v>795171052</v>
      </c>
      <c r="F67" s="276">
        <f t="shared" si="2"/>
        <v>7951710.5200000005</v>
      </c>
      <c r="G67" s="276">
        <f t="shared" si="5"/>
        <v>-54726477.520000003</v>
      </c>
      <c r="H67" s="2011">
        <f t="shared" si="7"/>
        <v>-108985207.37</v>
      </c>
      <c r="I67" s="1080"/>
      <c r="J67" s="1092">
        <v>46774767</v>
      </c>
      <c r="K67" s="1092">
        <f t="shared" si="6"/>
        <v>93549534</v>
      </c>
    </row>
    <row r="68" spans="1:11" ht="15">
      <c r="A68" s="2009"/>
      <c r="B68" s="2010"/>
      <c r="C68" s="1079">
        <f t="shared" si="0"/>
        <v>64</v>
      </c>
      <c r="D68" s="276"/>
      <c r="E68" s="276">
        <f t="shared" si="4"/>
        <v>748396285</v>
      </c>
      <c r="F68" s="276">
        <f t="shared" si="2"/>
        <v>7483962.8500000006</v>
      </c>
      <c r="G68" s="276">
        <f t="shared" si="5"/>
        <v>-54258729.850000001</v>
      </c>
      <c r="H68" s="2011"/>
      <c r="I68" s="1080"/>
      <c r="J68" s="1092">
        <v>46774767</v>
      </c>
      <c r="K68" s="1092">
        <f t="shared" si="6"/>
        <v>93549534</v>
      </c>
    </row>
    <row r="69" spans="1:11" ht="15">
      <c r="A69" s="2009">
        <v>2040</v>
      </c>
      <c r="B69" s="2010">
        <v>33</v>
      </c>
      <c r="C69" s="1079">
        <f t="shared" si="0"/>
        <v>65</v>
      </c>
      <c r="D69" s="276"/>
      <c r="E69" s="276">
        <f t="shared" si="4"/>
        <v>701621518</v>
      </c>
      <c r="F69" s="276">
        <f t="shared" si="2"/>
        <v>7016215.1799999997</v>
      </c>
      <c r="G69" s="276">
        <f t="shared" si="5"/>
        <v>-53790982.18</v>
      </c>
      <c r="H69" s="2011">
        <f t="shared" si="7"/>
        <v>-107114216.69</v>
      </c>
      <c r="I69" s="1080"/>
      <c r="J69" s="1092">
        <v>46774767</v>
      </c>
      <c r="K69" s="1092">
        <f t="shared" si="6"/>
        <v>93549534</v>
      </c>
    </row>
    <row r="70" spans="1:11" ht="15">
      <c r="A70" s="2009"/>
      <c r="B70" s="2010"/>
      <c r="C70" s="1079">
        <f t="shared" ref="C70:C84" si="8">C69+1</f>
        <v>66</v>
      </c>
      <c r="D70" s="276"/>
      <c r="E70" s="276">
        <f t="shared" si="4"/>
        <v>654846751</v>
      </c>
      <c r="F70" s="276">
        <f t="shared" si="2"/>
        <v>6548467.5099999998</v>
      </c>
      <c r="G70" s="276">
        <f t="shared" si="5"/>
        <v>-53323234.509999998</v>
      </c>
      <c r="H70" s="2011"/>
      <c r="I70" s="1080"/>
      <c r="J70" s="1092">
        <v>46774767</v>
      </c>
      <c r="K70" s="1092">
        <f t="shared" si="6"/>
        <v>93549534</v>
      </c>
    </row>
    <row r="71" spans="1:11" ht="15">
      <c r="A71" s="2009">
        <v>2041</v>
      </c>
      <c r="B71" s="2010">
        <v>34</v>
      </c>
      <c r="C71" s="1079">
        <f t="shared" si="8"/>
        <v>67</v>
      </c>
      <c r="D71" s="276"/>
      <c r="E71" s="276">
        <f t="shared" si="4"/>
        <v>608071984</v>
      </c>
      <c r="F71" s="276">
        <f t="shared" ref="F71:F84" si="9">E71*$I$5/2</f>
        <v>6080719.8399999999</v>
      </c>
      <c r="G71" s="276">
        <f t="shared" si="5"/>
        <v>-52855486.840000004</v>
      </c>
      <c r="H71" s="2011">
        <f t="shared" si="7"/>
        <v>-105243226.01000001</v>
      </c>
      <c r="I71" s="1080"/>
      <c r="J71" s="1092">
        <v>46774767</v>
      </c>
      <c r="K71" s="1092">
        <f t="shared" si="6"/>
        <v>93549534</v>
      </c>
    </row>
    <row r="72" spans="1:11" ht="15">
      <c r="A72" s="2009"/>
      <c r="B72" s="2010"/>
      <c r="C72" s="1079">
        <f t="shared" si="8"/>
        <v>68</v>
      </c>
      <c r="D72" s="276"/>
      <c r="E72" s="276">
        <f t="shared" si="4"/>
        <v>561297217</v>
      </c>
      <c r="F72" s="276">
        <f t="shared" si="9"/>
        <v>5612972.1699999999</v>
      </c>
      <c r="G72" s="276">
        <f t="shared" si="5"/>
        <v>-52387739.170000002</v>
      </c>
      <c r="H72" s="2011"/>
      <c r="I72" s="1080"/>
      <c r="J72" s="1092">
        <v>46774767</v>
      </c>
      <c r="K72" s="1092">
        <f t="shared" si="6"/>
        <v>93549534</v>
      </c>
    </row>
    <row r="73" spans="1:11" ht="15">
      <c r="A73" s="2009">
        <v>2042</v>
      </c>
      <c r="B73" s="2010">
        <v>35</v>
      </c>
      <c r="C73" s="1079">
        <f t="shared" si="8"/>
        <v>69</v>
      </c>
      <c r="D73" s="276"/>
      <c r="E73" s="276">
        <f t="shared" si="4"/>
        <v>514522449.99999994</v>
      </c>
      <c r="F73" s="276">
        <f t="shared" si="9"/>
        <v>5145224.4999999991</v>
      </c>
      <c r="G73" s="276">
        <f t="shared" si="5"/>
        <v>-51919991.5</v>
      </c>
      <c r="H73" s="2011">
        <f t="shared" si="7"/>
        <v>-103372235.33</v>
      </c>
      <c r="I73" s="1080"/>
      <c r="J73" s="1092">
        <v>46774767</v>
      </c>
      <c r="K73" s="1092">
        <f t="shared" si="6"/>
        <v>93549534</v>
      </c>
    </row>
    <row r="74" spans="1:11" ht="15">
      <c r="A74" s="2009"/>
      <c r="B74" s="2010"/>
      <c r="C74" s="1079">
        <f t="shared" si="8"/>
        <v>70</v>
      </c>
      <c r="D74" s="276"/>
      <c r="E74" s="276">
        <f t="shared" si="4"/>
        <v>467747682.99999994</v>
      </c>
      <c r="F74" s="276">
        <f t="shared" si="9"/>
        <v>4677476.8299999991</v>
      </c>
      <c r="G74" s="276">
        <f t="shared" si="5"/>
        <v>-51452243.829999998</v>
      </c>
      <c r="H74" s="2011"/>
      <c r="I74" s="1080"/>
      <c r="J74" s="1092">
        <v>46774767</v>
      </c>
      <c r="K74" s="1092">
        <f t="shared" si="6"/>
        <v>93549534</v>
      </c>
    </row>
    <row r="75" spans="1:11" ht="15">
      <c r="A75" s="2009">
        <v>2043</v>
      </c>
      <c r="B75" s="2010">
        <v>36</v>
      </c>
      <c r="C75" s="1079">
        <f t="shared" si="8"/>
        <v>71</v>
      </c>
      <c r="D75" s="276"/>
      <c r="E75" s="276">
        <f t="shared" si="4"/>
        <v>420972915.99999994</v>
      </c>
      <c r="F75" s="276">
        <f t="shared" si="9"/>
        <v>4209729.1599999992</v>
      </c>
      <c r="G75" s="276">
        <f t="shared" si="5"/>
        <v>-50984496.159999996</v>
      </c>
      <c r="H75" s="2011">
        <f t="shared" si="7"/>
        <v>-101501244.65000001</v>
      </c>
      <c r="I75" s="1080"/>
      <c r="J75" s="1092">
        <v>46774767</v>
      </c>
      <c r="K75" s="1092">
        <f t="shared" si="6"/>
        <v>93549534</v>
      </c>
    </row>
    <row r="76" spans="1:11" ht="15">
      <c r="A76" s="2009"/>
      <c r="B76" s="2010"/>
      <c r="C76" s="1079">
        <f t="shared" si="8"/>
        <v>72</v>
      </c>
      <c r="D76" s="276"/>
      <c r="E76" s="276">
        <f t="shared" si="4"/>
        <v>374198149</v>
      </c>
      <c r="F76" s="276">
        <f t="shared" si="9"/>
        <v>3741981.49</v>
      </c>
      <c r="G76" s="276">
        <f t="shared" si="5"/>
        <v>-50516748.490000002</v>
      </c>
      <c r="H76" s="2011"/>
      <c r="I76" s="1080"/>
      <c r="J76" s="1092">
        <v>46774767</v>
      </c>
      <c r="K76" s="1092">
        <f t="shared" si="6"/>
        <v>93549534</v>
      </c>
    </row>
    <row r="77" spans="1:11" ht="15">
      <c r="A77" s="2009">
        <v>2044</v>
      </c>
      <c r="B77" s="2010">
        <v>37</v>
      </c>
      <c r="C77" s="1079">
        <f t="shared" si="8"/>
        <v>73</v>
      </c>
      <c r="D77" s="276"/>
      <c r="E77" s="276">
        <f t="shared" si="4"/>
        <v>327423382</v>
      </c>
      <c r="F77" s="276">
        <f t="shared" si="9"/>
        <v>3274233.8200000003</v>
      </c>
      <c r="G77" s="276">
        <f t="shared" si="5"/>
        <v>-50049000.82</v>
      </c>
      <c r="H77" s="2011">
        <f t="shared" si="7"/>
        <v>-99630253.969999999</v>
      </c>
      <c r="I77" s="1080"/>
      <c r="J77" s="1092">
        <v>46774767</v>
      </c>
      <c r="K77" s="1092">
        <f t="shared" si="6"/>
        <v>93549534</v>
      </c>
    </row>
    <row r="78" spans="1:11" ht="15">
      <c r="A78" s="2009"/>
      <c r="B78" s="2010"/>
      <c r="C78" s="1079">
        <f t="shared" si="8"/>
        <v>74</v>
      </c>
      <c r="D78" s="276"/>
      <c r="E78" s="276">
        <f t="shared" si="4"/>
        <v>280648615</v>
      </c>
      <c r="F78" s="276">
        <f t="shared" si="9"/>
        <v>2806486.15</v>
      </c>
      <c r="G78" s="276">
        <f t="shared" si="5"/>
        <v>-49581253.149999999</v>
      </c>
      <c r="H78" s="2011"/>
      <c r="I78" s="1080"/>
      <c r="J78" s="1092">
        <v>46774767</v>
      </c>
      <c r="K78" s="1092">
        <f t="shared" si="6"/>
        <v>93549534</v>
      </c>
    </row>
    <row r="79" spans="1:11" ht="15">
      <c r="A79" s="2009">
        <v>2045</v>
      </c>
      <c r="B79" s="2010">
        <v>38</v>
      </c>
      <c r="C79" s="1079">
        <f t="shared" si="8"/>
        <v>75</v>
      </c>
      <c r="D79" s="276"/>
      <c r="E79" s="276">
        <f t="shared" si="4"/>
        <v>233873847.99999997</v>
      </c>
      <c r="F79" s="276">
        <f t="shared" si="9"/>
        <v>2338738.48</v>
      </c>
      <c r="G79" s="276">
        <f t="shared" si="5"/>
        <v>-49113505.479999997</v>
      </c>
      <c r="H79" s="2011">
        <f t="shared" si="7"/>
        <v>-97759263.289999992</v>
      </c>
      <c r="I79" s="1080"/>
      <c r="J79" s="1092">
        <v>46774767</v>
      </c>
      <c r="K79" s="1092">
        <f t="shared" si="6"/>
        <v>93549534</v>
      </c>
    </row>
    <row r="80" spans="1:11" ht="15">
      <c r="A80" s="2009"/>
      <c r="B80" s="2010"/>
      <c r="C80" s="1079">
        <f t="shared" si="8"/>
        <v>76</v>
      </c>
      <c r="D80" s="276"/>
      <c r="E80" s="276">
        <f>D80+E79+F79+G79</f>
        <v>187099080.99999997</v>
      </c>
      <c r="F80" s="276">
        <f t="shared" si="9"/>
        <v>1870990.8099999998</v>
      </c>
      <c r="G80" s="276">
        <f t="shared" si="5"/>
        <v>-48645757.810000002</v>
      </c>
      <c r="H80" s="2011"/>
      <c r="I80" s="1080"/>
      <c r="J80" s="1092">
        <v>46774767</v>
      </c>
      <c r="K80" s="1092">
        <f t="shared" si="6"/>
        <v>93549534</v>
      </c>
    </row>
    <row r="81" spans="1:43" ht="15">
      <c r="A81" s="2009">
        <v>2046</v>
      </c>
      <c r="B81" s="2010">
        <v>39</v>
      </c>
      <c r="C81" s="1079">
        <f t="shared" si="8"/>
        <v>77</v>
      </c>
      <c r="D81" s="276"/>
      <c r="E81" s="276">
        <f>D81+E80+F80+G80</f>
        <v>140324313.99999997</v>
      </c>
      <c r="F81" s="276">
        <f t="shared" si="9"/>
        <v>1403243.1399999997</v>
      </c>
      <c r="G81" s="276">
        <f t="shared" si="5"/>
        <v>-48178010.140000001</v>
      </c>
      <c r="H81" s="2011">
        <f t="shared" si="7"/>
        <v>-95888272.609999999</v>
      </c>
      <c r="I81" s="1080"/>
      <c r="J81" s="1092">
        <v>46774767</v>
      </c>
      <c r="K81" s="1092">
        <f t="shared" si="6"/>
        <v>93549534</v>
      </c>
    </row>
    <row r="82" spans="1:43" ht="15">
      <c r="A82" s="2009"/>
      <c r="B82" s="2010"/>
      <c r="C82" s="1079">
        <f t="shared" si="8"/>
        <v>78</v>
      </c>
      <c r="D82" s="276"/>
      <c r="E82" s="276">
        <f>D82+E81+F81+G81</f>
        <v>93549546.999999955</v>
      </c>
      <c r="F82" s="276">
        <f t="shared" si="9"/>
        <v>935495.46999999962</v>
      </c>
      <c r="G82" s="276">
        <f t="shared" si="5"/>
        <v>-47710262.469999999</v>
      </c>
      <c r="H82" s="2011"/>
      <c r="I82" s="1080"/>
      <c r="J82" s="1092">
        <v>46774767</v>
      </c>
      <c r="K82" s="1092">
        <f t="shared" si="6"/>
        <v>93549534</v>
      </c>
    </row>
    <row r="83" spans="1:43" ht="15">
      <c r="A83" s="2009">
        <v>2047</v>
      </c>
      <c r="B83" s="2010">
        <v>40</v>
      </c>
      <c r="C83" s="1079">
        <f t="shared" si="8"/>
        <v>79</v>
      </c>
      <c r="D83" s="276"/>
      <c r="E83" s="276">
        <f>D83+E82+F82+G82</f>
        <v>46774779.999999955</v>
      </c>
      <c r="F83" s="276">
        <f t="shared" si="9"/>
        <v>467747.79999999958</v>
      </c>
      <c r="G83" s="276">
        <f t="shared" si="5"/>
        <v>-47242514.799999997</v>
      </c>
      <c r="H83" s="2011">
        <f t="shared" si="7"/>
        <v>-94017281.930000007</v>
      </c>
      <c r="I83" s="1080"/>
      <c r="J83" s="1092">
        <v>46774767</v>
      </c>
      <c r="K83" s="1092">
        <f t="shared" si="6"/>
        <v>93549534</v>
      </c>
    </row>
    <row r="84" spans="1:43" ht="15">
      <c r="A84" s="2009"/>
      <c r="B84" s="2010"/>
      <c r="C84" s="1079">
        <f t="shared" si="8"/>
        <v>80</v>
      </c>
      <c r="D84" s="276"/>
      <c r="E84" s="276">
        <f>D84+E83+F83+G83</f>
        <v>12.999999955296516</v>
      </c>
      <c r="F84" s="276">
        <f t="shared" si="9"/>
        <v>0.12999999955296518</v>
      </c>
      <c r="G84" s="276">
        <f t="shared" si="5"/>
        <v>-46774767.130000003</v>
      </c>
      <c r="H84" s="2011"/>
      <c r="I84" s="1080"/>
      <c r="J84" s="1092">
        <v>46774767</v>
      </c>
      <c r="K84" s="1092">
        <f t="shared" si="6"/>
        <v>93549534</v>
      </c>
    </row>
    <row r="85" spans="1:43" ht="15">
      <c r="A85" s="2009"/>
      <c r="B85" s="2010"/>
      <c r="C85" s="1079"/>
      <c r="D85" s="276"/>
      <c r="E85" s="276"/>
      <c r="F85" s="276"/>
      <c r="G85" s="276"/>
      <c r="H85" s="2011"/>
      <c r="I85" s="1080"/>
    </row>
    <row r="86" spans="1:43" ht="15">
      <c r="A86" s="2009"/>
      <c r="B86" s="2010"/>
      <c r="C86" s="1079"/>
      <c r="D86" s="276"/>
      <c r="E86" s="276"/>
      <c r="F86" s="276"/>
      <c r="G86" s="276"/>
      <c r="H86" s="2011"/>
      <c r="I86" s="1080"/>
    </row>
    <row r="87" spans="1:43" ht="13.5" thickBot="1">
      <c r="A87" s="1086"/>
      <c r="B87" s="777"/>
      <c r="C87" s="777"/>
      <c r="D87" s="777"/>
      <c r="E87" s="777"/>
      <c r="F87" s="777"/>
      <c r="G87" s="777"/>
      <c r="H87" s="777"/>
      <c r="I87" s="781"/>
    </row>
    <row r="89" spans="1:43" s="1088" customFormat="1">
      <c r="A89" s="1087">
        <v>2008</v>
      </c>
      <c r="B89" s="1087">
        <f>A89+1</f>
        <v>2009</v>
      </c>
      <c r="C89" s="1087">
        <f t="shared" ref="C89:AM89" si="10">B89+1</f>
        <v>2010</v>
      </c>
      <c r="D89" s="1087">
        <f t="shared" si="10"/>
        <v>2011</v>
      </c>
      <c r="E89" s="1087">
        <f t="shared" si="10"/>
        <v>2012</v>
      </c>
      <c r="F89" s="1087">
        <f t="shared" si="10"/>
        <v>2013</v>
      </c>
      <c r="G89" s="1087">
        <f t="shared" si="10"/>
        <v>2014</v>
      </c>
      <c r="H89" s="1087">
        <f t="shared" si="10"/>
        <v>2015</v>
      </c>
      <c r="I89" s="1087">
        <f t="shared" si="10"/>
        <v>2016</v>
      </c>
      <c r="J89" s="1087">
        <f t="shared" si="10"/>
        <v>2017</v>
      </c>
      <c r="K89" s="1087">
        <f t="shared" si="10"/>
        <v>2018</v>
      </c>
      <c r="L89" s="1087">
        <f t="shared" si="10"/>
        <v>2019</v>
      </c>
      <c r="M89" s="1087">
        <f t="shared" si="10"/>
        <v>2020</v>
      </c>
      <c r="N89" s="1087">
        <f t="shared" si="10"/>
        <v>2021</v>
      </c>
      <c r="O89" s="1087">
        <f t="shared" si="10"/>
        <v>2022</v>
      </c>
      <c r="P89" s="1087">
        <f t="shared" si="10"/>
        <v>2023</v>
      </c>
      <c r="Q89" s="1087">
        <f t="shared" si="10"/>
        <v>2024</v>
      </c>
      <c r="R89" s="1087">
        <f t="shared" si="10"/>
        <v>2025</v>
      </c>
      <c r="S89" s="1087">
        <f t="shared" si="10"/>
        <v>2026</v>
      </c>
      <c r="T89" s="1087">
        <f t="shared" si="10"/>
        <v>2027</v>
      </c>
      <c r="U89" s="1087">
        <f t="shared" si="10"/>
        <v>2028</v>
      </c>
      <c r="V89" s="1087">
        <f t="shared" si="10"/>
        <v>2029</v>
      </c>
      <c r="W89" s="1087">
        <f t="shared" si="10"/>
        <v>2030</v>
      </c>
      <c r="X89" s="1087">
        <f t="shared" si="10"/>
        <v>2031</v>
      </c>
      <c r="Y89" s="1087">
        <f t="shared" si="10"/>
        <v>2032</v>
      </c>
      <c r="Z89" s="1087">
        <f t="shared" si="10"/>
        <v>2033</v>
      </c>
      <c r="AA89" s="1087">
        <f t="shared" si="10"/>
        <v>2034</v>
      </c>
      <c r="AB89" s="1087">
        <f t="shared" si="10"/>
        <v>2035</v>
      </c>
      <c r="AC89" s="1087">
        <f t="shared" si="10"/>
        <v>2036</v>
      </c>
      <c r="AD89" s="1087">
        <f t="shared" si="10"/>
        <v>2037</v>
      </c>
      <c r="AE89" s="1087">
        <f t="shared" si="10"/>
        <v>2038</v>
      </c>
      <c r="AF89" s="1087">
        <f t="shared" si="10"/>
        <v>2039</v>
      </c>
      <c r="AG89" s="1087">
        <f t="shared" si="10"/>
        <v>2040</v>
      </c>
      <c r="AH89" s="1087">
        <f t="shared" si="10"/>
        <v>2041</v>
      </c>
      <c r="AI89" s="1087">
        <f t="shared" si="10"/>
        <v>2042</v>
      </c>
      <c r="AJ89" s="1087">
        <f t="shared" si="10"/>
        <v>2043</v>
      </c>
      <c r="AK89" s="1087">
        <f t="shared" si="10"/>
        <v>2044</v>
      </c>
      <c r="AL89" s="1087">
        <f t="shared" si="10"/>
        <v>2045</v>
      </c>
      <c r="AM89" s="1087">
        <f t="shared" si="10"/>
        <v>2046</v>
      </c>
      <c r="AN89" s="1087">
        <f>AM89+1</f>
        <v>2047</v>
      </c>
      <c r="AO89" s="1087"/>
      <c r="AP89" s="1087"/>
      <c r="AQ89" s="1087"/>
    </row>
    <row r="90" spans="1:43" s="1088" customFormat="1">
      <c r="A90" s="1089" t="s">
        <v>504</v>
      </c>
      <c r="B90" s="1089" t="s">
        <v>505</v>
      </c>
      <c r="C90" s="1089" t="s">
        <v>505</v>
      </c>
      <c r="D90" s="1089" t="s">
        <v>505</v>
      </c>
      <c r="E90" s="1089" t="s">
        <v>505</v>
      </c>
      <c r="F90" s="1089" t="s">
        <v>505</v>
      </c>
      <c r="G90" s="1089" t="s">
        <v>505</v>
      </c>
      <c r="H90" s="1089" t="s">
        <v>505</v>
      </c>
      <c r="I90" s="1089" t="s">
        <v>505</v>
      </c>
      <c r="J90" s="1089" t="s">
        <v>505</v>
      </c>
      <c r="K90" s="1089" t="s">
        <v>505</v>
      </c>
      <c r="L90" s="1089" t="s">
        <v>505</v>
      </c>
      <c r="M90" s="1089" t="s">
        <v>505</v>
      </c>
      <c r="N90" s="1089" t="s">
        <v>505</v>
      </c>
      <c r="O90" s="1089" t="s">
        <v>505</v>
      </c>
      <c r="P90" s="1089" t="s">
        <v>505</v>
      </c>
      <c r="Q90" s="1089" t="s">
        <v>505</v>
      </c>
      <c r="R90" s="1089" t="s">
        <v>505</v>
      </c>
      <c r="S90" s="1089" t="s">
        <v>505</v>
      </c>
      <c r="T90" s="1089" t="s">
        <v>505</v>
      </c>
      <c r="U90" s="1089" t="s">
        <v>505</v>
      </c>
      <c r="V90" s="1089" t="s">
        <v>505</v>
      </c>
      <c r="W90" s="1089" t="s">
        <v>505</v>
      </c>
      <c r="X90" s="1089" t="s">
        <v>505</v>
      </c>
      <c r="Y90" s="1089" t="s">
        <v>505</v>
      </c>
      <c r="Z90" s="1089" t="s">
        <v>505</v>
      </c>
      <c r="AA90" s="1089" t="s">
        <v>505</v>
      </c>
      <c r="AB90" s="1089" t="s">
        <v>505</v>
      </c>
      <c r="AC90" s="1089" t="s">
        <v>505</v>
      </c>
      <c r="AD90" s="1089" t="s">
        <v>505</v>
      </c>
      <c r="AE90" s="1089" t="s">
        <v>505</v>
      </c>
      <c r="AF90" s="1089" t="s">
        <v>505</v>
      </c>
      <c r="AG90" s="1089" t="s">
        <v>505</v>
      </c>
      <c r="AH90" s="1089" t="s">
        <v>505</v>
      </c>
      <c r="AI90" s="1089" t="s">
        <v>505</v>
      </c>
      <c r="AJ90" s="1089" t="s">
        <v>505</v>
      </c>
      <c r="AK90" s="1089" t="s">
        <v>505</v>
      </c>
      <c r="AL90" s="1089" t="s">
        <v>505</v>
      </c>
      <c r="AM90" s="1089" t="s">
        <v>505</v>
      </c>
      <c r="AN90" s="1089" t="s">
        <v>505</v>
      </c>
      <c r="AO90" s="1089"/>
      <c r="AP90" s="1089"/>
      <c r="AQ90" s="1089"/>
    </row>
    <row r="91" spans="1:43" s="1091" customFormat="1" ht="11.25">
      <c r="A91" s="1090">
        <f>H5</f>
        <v>-10343393.76</v>
      </c>
      <c r="B91" s="1090">
        <f>H7</f>
        <v>-21885642.579999998</v>
      </c>
      <c r="C91" s="1090">
        <f>H9</f>
        <v>-34424716.340000004</v>
      </c>
      <c r="D91" s="1090">
        <f>H11</f>
        <v>-41630500.910000004</v>
      </c>
      <c r="E91" s="1090">
        <f>H13</f>
        <v>-45815823.870000005</v>
      </c>
      <c r="F91" s="1090">
        <f>H15</f>
        <v>-46774767.439999998</v>
      </c>
      <c r="G91" s="1090">
        <f>H17</f>
        <v>-46774767.439999998</v>
      </c>
      <c r="H91" s="1090">
        <f>H19</f>
        <v>-46774767.439999998</v>
      </c>
      <c r="I91" s="1090">
        <f>H19</f>
        <v>-46774767.439999998</v>
      </c>
      <c r="J91" s="1090">
        <f>H21</f>
        <v>-41291944.719999999</v>
      </c>
      <c r="K91" s="1090">
        <f>H23</f>
        <v>-46774767.439999998</v>
      </c>
      <c r="L91" s="1090">
        <f>H25</f>
        <v>-93315661.599999994</v>
      </c>
      <c r="M91" s="1090">
        <f>H27</f>
        <v>-92380166.24000001</v>
      </c>
      <c r="N91" s="1090">
        <f>H29</f>
        <v>-91444670.879999995</v>
      </c>
      <c r="O91" s="1090">
        <f>H31</f>
        <v>-90509175.520000011</v>
      </c>
      <c r="P91" s="1090">
        <f>H33</f>
        <v>-89573680.159999996</v>
      </c>
      <c r="Q91" s="1090">
        <f>H35</f>
        <v>-88638184.799999982</v>
      </c>
      <c r="R91" s="1090">
        <f>H37</f>
        <v>-87702689.439999998</v>
      </c>
      <c r="S91" s="1090">
        <f>H39</f>
        <v>-86767194.079999983</v>
      </c>
      <c r="T91" s="1090">
        <f>H41</f>
        <v>-85831698.719999999</v>
      </c>
      <c r="U91" s="1090">
        <f>H43</f>
        <v>-131437095.53</v>
      </c>
      <c r="V91" s="1090">
        <f>H45</f>
        <v>-129566104.84999999</v>
      </c>
      <c r="W91" s="1090">
        <f>H47</f>
        <v>-127695114.17</v>
      </c>
      <c r="X91" s="1090">
        <f>H49</f>
        <v>-125824123.48999999</v>
      </c>
      <c r="Y91" s="1090">
        <f>H51</f>
        <v>-123953132.81</v>
      </c>
      <c r="Z91" s="1090">
        <f>H53</f>
        <v>-122082142.13</v>
      </c>
      <c r="AA91" s="1090">
        <f>H55</f>
        <v>-120211151.45</v>
      </c>
      <c r="AB91" s="1090">
        <f>H57</f>
        <v>-118340160.77</v>
      </c>
      <c r="AC91" s="1090">
        <f>H59</f>
        <v>-116469170.09</v>
      </c>
      <c r="AD91" s="1090">
        <f>H61</f>
        <v>-114598179.41</v>
      </c>
      <c r="AE91" s="1090">
        <f>H63</f>
        <v>-112727188.73</v>
      </c>
      <c r="AF91" s="1090">
        <f>H65</f>
        <v>-110856198.05</v>
      </c>
      <c r="AG91" s="1090">
        <f>H67</f>
        <v>-108985207.37</v>
      </c>
      <c r="AH91" s="1090">
        <f>H69</f>
        <v>-107114216.69</v>
      </c>
      <c r="AI91" s="1090">
        <f>H71</f>
        <v>-105243226.01000001</v>
      </c>
      <c r="AJ91" s="1090">
        <f>H73</f>
        <v>-103372235.33</v>
      </c>
      <c r="AK91" s="1090">
        <f>H75</f>
        <v>-101501244.65000001</v>
      </c>
      <c r="AL91" s="1090">
        <f>H77</f>
        <v>-99630253.969999999</v>
      </c>
      <c r="AM91" s="1090">
        <f>H79</f>
        <v>-97759263.289999992</v>
      </c>
      <c r="AN91" s="1090">
        <f>H81</f>
        <v>-95888272.609999999</v>
      </c>
      <c r="AO91" s="1090">
        <f>H83</f>
        <v>-94017281.930000007</v>
      </c>
      <c r="AP91" s="1090"/>
      <c r="AQ91" s="1090"/>
    </row>
  </sheetData>
  <mergeCells count="123">
    <mergeCell ref="A85:A86"/>
    <mergeCell ref="B85:B86"/>
    <mergeCell ref="H85:H86"/>
    <mergeCell ref="A81:A82"/>
    <mergeCell ref="B81:B82"/>
    <mergeCell ref="H81:H82"/>
    <mergeCell ref="A83:A84"/>
    <mergeCell ref="B83:B84"/>
    <mergeCell ref="H83:H84"/>
    <mergeCell ref="A77:A78"/>
    <mergeCell ref="B77:B78"/>
    <mergeCell ref="H77:H78"/>
    <mergeCell ref="A79:A80"/>
    <mergeCell ref="B79:B80"/>
    <mergeCell ref="H79:H80"/>
    <mergeCell ref="A73:A74"/>
    <mergeCell ref="B73:B74"/>
    <mergeCell ref="H73:H74"/>
    <mergeCell ref="A75:A76"/>
    <mergeCell ref="B75:B76"/>
    <mergeCell ref="H75:H76"/>
    <mergeCell ref="A69:A70"/>
    <mergeCell ref="B69:B70"/>
    <mergeCell ref="H69:H70"/>
    <mergeCell ref="A71:A72"/>
    <mergeCell ref="B71:B72"/>
    <mergeCell ref="H71:H72"/>
    <mergeCell ref="A65:A66"/>
    <mergeCell ref="B65:B66"/>
    <mergeCell ref="H65:H66"/>
    <mergeCell ref="A67:A68"/>
    <mergeCell ref="B67:B68"/>
    <mergeCell ref="H67:H68"/>
    <mergeCell ref="A61:A62"/>
    <mergeCell ref="B61:B62"/>
    <mergeCell ref="H61:H62"/>
    <mergeCell ref="A63:A64"/>
    <mergeCell ref="B63:B64"/>
    <mergeCell ref="H63:H64"/>
    <mergeCell ref="A57:A58"/>
    <mergeCell ref="B57:B58"/>
    <mergeCell ref="H57:H58"/>
    <mergeCell ref="A59:A60"/>
    <mergeCell ref="B59:B60"/>
    <mergeCell ref="H59:H60"/>
    <mergeCell ref="A53:A54"/>
    <mergeCell ref="B53:B54"/>
    <mergeCell ref="H53:H54"/>
    <mergeCell ref="A55:A56"/>
    <mergeCell ref="B55:B56"/>
    <mergeCell ref="H55:H56"/>
    <mergeCell ref="A49:A50"/>
    <mergeCell ref="B49:B50"/>
    <mergeCell ref="H49:H50"/>
    <mergeCell ref="A51:A52"/>
    <mergeCell ref="B51:B52"/>
    <mergeCell ref="H51:H52"/>
    <mergeCell ref="A45:A46"/>
    <mergeCell ref="B45:B46"/>
    <mergeCell ref="H45:H46"/>
    <mergeCell ref="A47:A48"/>
    <mergeCell ref="B47:B48"/>
    <mergeCell ref="H47:H48"/>
    <mergeCell ref="A41:A42"/>
    <mergeCell ref="B41:B42"/>
    <mergeCell ref="H41:H42"/>
    <mergeCell ref="A43:A44"/>
    <mergeCell ref="B43:B44"/>
    <mergeCell ref="H43:H44"/>
    <mergeCell ref="A37:A38"/>
    <mergeCell ref="B37:B38"/>
    <mergeCell ref="H37:H38"/>
    <mergeCell ref="A39:A40"/>
    <mergeCell ref="B39:B40"/>
    <mergeCell ref="H39:H40"/>
    <mergeCell ref="A33:A34"/>
    <mergeCell ref="B33:B34"/>
    <mergeCell ref="H33:H34"/>
    <mergeCell ref="A35:A36"/>
    <mergeCell ref="B35:B36"/>
    <mergeCell ref="H35:H36"/>
    <mergeCell ref="A29:A30"/>
    <mergeCell ref="B29:B30"/>
    <mergeCell ref="H29:H30"/>
    <mergeCell ref="A31:A32"/>
    <mergeCell ref="B31:B32"/>
    <mergeCell ref="H31:H32"/>
    <mergeCell ref="A25:A26"/>
    <mergeCell ref="B25:B26"/>
    <mergeCell ref="H25:H26"/>
    <mergeCell ref="A27:A28"/>
    <mergeCell ref="B27:B28"/>
    <mergeCell ref="H27:H28"/>
    <mergeCell ref="A21:A22"/>
    <mergeCell ref="B21:B22"/>
    <mergeCell ref="H21:H22"/>
    <mergeCell ref="A23:A24"/>
    <mergeCell ref="B23:B24"/>
    <mergeCell ref="H23:H24"/>
    <mergeCell ref="A17:A18"/>
    <mergeCell ref="B17:B18"/>
    <mergeCell ref="H17:H18"/>
    <mergeCell ref="A19:A20"/>
    <mergeCell ref="B19:B20"/>
    <mergeCell ref="H19:H20"/>
    <mergeCell ref="A15:A16"/>
    <mergeCell ref="B15:B16"/>
    <mergeCell ref="H15:H16"/>
    <mergeCell ref="A9:A10"/>
    <mergeCell ref="B9:B10"/>
    <mergeCell ref="H9:H10"/>
    <mergeCell ref="A11:A12"/>
    <mergeCell ref="B11:B12"/>
    <mergeCell ref="H11:H12"/>
    <mergeCell ref="A5:A6"/>
    <mergeCell ref="B5:B6"/>
    <mergeCell ref="H5:H6"/>
    <mergeCell ref="A7:A8"/>
    <mergeCell ref="B7:B8"/>
    <mergeCell ref="H7:H8"/>
    <mergeCell ref="A13:A14"/>
    <mergeCell ref="B13:B14"/>
    <mergeCell ref="H13:H14"/>
  </mergeCells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Q96"/>
  <sheetViews>
    <sheetView topLeftCell="C71" workbookViewId="0">
      <selection activeCell="O29" sqref="O29"/>
    </sheetView>
  </sheetViews>
  <sheetFormatPr defaultRowHeight="12.75"/>
  <cols>
    <col min="1" max="1" width="16" style="763" customWidth="1"/>
    <col min="2" max="2" width="11.28515625" style="763" bestFit="1" customWidth="1"/>
    <col min="3" max="3" width="13.5703125" style="763" customWidth="1"/>
    <col min="4" max="4" width="11.28515625" style="763" bestFit="1" customWidth="1"/>
    <col min="5" max="5" width="12.5703125" style="763" customWidth="1"/>
    <col min="6" max="6" width="13.5703125" style="763" customWidth="1"/>
    <col min="7" max="7" width="20.5703125" style="763" customWidth="1"/>
    <col min="8" max="8" width="21.42578125" style="763" customWidth="1"/>
    <col min="9" max="9" width="20.28515625" style="763" customWidth="1"/>
    <col min="10" max="10" width="11.28515625" style="763" bestFit="1" customWidth="1"/>
    <col min="11" max="11" width="15" style="763" customWidth="1"/>
    <col min="12" max="12" width="15.140625" style="763" customWidth="1"/>
    <col min="13" max="25" width="12.28515625" style="763" bestFit="1" customWidth="1"/>
    <col min="26" max="41" width="11.28515625" style="763" bestFit="1" customWidth="1"/>
    <col min="42" max="42" width="9.28515625" style="763" bestFit="1" customWidth="1"/>
    <col min="43" max="256" width="9.140625" style="763"/>
    <col min="257" max="259" width="9.28515625" style="763" bestFit="1" customWidth="1"/>
    <col min="260" max="260" width="12.5703125" style="763" customWidth="1"/>
    <col min="261" max="261" width="15.5703125" style="763" customWidth="1"/>
    <col min="262" max="262" width="13.5703125" style="763" customWidth="1"/>
    <col min="263" max="263" width="14.85546875" style="763" customWidth="1"/>
    <col min="264" max="264" width="12.140625" style="763" customWidth="1"/>
    <col min="265" max="265" width="9.28515625" style="763" bestFit="1" customWidth="1"/>
    <col min="266" max="266" width="9.140625" style="763" customWidth="1"/>
    <col min="267" max="267" width="15" style="763" customWidth="1"/>
    <col min="268" max="268" width="11.28515625" style="763" customWidth="1"/>
    <col min="269" max="269" width="9.140625" style="763" customWidth="1"/>
    <col min="270" max="275" width="9.28515625" style="763" bestFit="1" customWidth="1"/>
    <col min="276" max="276" width="9.140625" style="763"/>
    <col min="277" max="278" width="9.28515625" style="763" bestFit="1" customWidth="1"/>
    <col min="279" max="279" width="9.140625" style="763"/>
    <col min="280" max="280" width="9.28515625" style="763" bestFit="1" customWidth="1"/>
    <col min="281" max="281" width="9.140625" style="763"/>
    <col min="282" max="282" width="9.28515625" style="763" bestFit="1" customWidth="1"/>
    <col min="283" max="283" width="9.140625" style="763"/>
    <col min="284" max="285" width="9.28515625" style="763" bestFit="1" customWidth="1"/>
    <col min="286" max="287" width="9.140625" style="763"/>
    <col min="288" max="290" width="9.28515625" style="763" bestFit="1" customWidth="1"/>
    <col min="291" max="291" width="9.140625" style="763"/>
    <col min="292" max="298" width="9.28515625" style="763" bestFit="1" customWidth="1"/>
    <col min="299" max="512" width="9.140625" style="763"/>
    <col min="513" max="515" width="9.28515625" style="763" bestFit="1" customWidth="1"/>
    <col min="516" max="516" width="12.5703125" style="763" customWidth="1"/>
    <col min="517" max="517" width="15.5703125" style="763" customWidth="1"/>
    <col min="518" max="518" width="13.5703125" style="763" customWidth="1"/>
    <col min="519" max="519" width="14.85546875" style="763" customWidth="1"/>
    <col min="520" max="520" width="12.140625" style="763" customWidth="1"/>
    <col min="521" max="521" width="9.28515625" style="763" bestFit="1" customWidth="1"/>
    <col min="522" max="522" width="9.140625" style="763" customWidth="1"/>
    <col min="523" max="523" width="15" style="763" customWidth="1"/>
    <col min="524" max="524" width="11.28515625" style="763" customWidth="1"/>
    <col min="525" max="525" width="9.140625" style="763" customWidth="1"/>
    <col min="526" max="531" width="9.28515625" style="763" bestFit="1" customWidth="1"/>
    <col min="532" max="532" width="9.140625" style="763"/>
    <col min="533" max="534" width="9.28515625" style="763" bestFit="1" customWidth="1"/>
    <col min="535" max="535" width="9.140625" style="763"/>
    <col min="536" max="536" width="9.28515625" style="763" bestFit="1" customWidth="1"/>
    <col min="537" max="537" width="9.140625" style="763"/>
    <col min="538" max="538" width="9.28515625" style="763" bestFit="1" customWidth="1"/>
    <col min="539" max="539" width="9.140625" style="763"/>
    <col min="540" max="541" width="9.28515625" style="763" bestFit="1" customWidth="1"/>
    <col min="542" max="543" width="9.140625" style="763"/>
    <col min="544" max="546" width="9.28515625" style="763" bestFit="1" customWidth="1"/>
    <col min="547" max="547" width="9.140625" style="763"/>
    <col min="548" max="554" width="9.28515625" style="763" bestFit="1" customWidth="1"/>
    <col min="555" max="768" width="9.140625" style="763"/>
    <col min="769" max="771" width="9.28515625" style="763" bestFit="1" customWidth="1"/>
    <col min="772" max="772" width="12.5703125" style="763" customWidth="1"/>
    <col min="773" max="773" width="15.5703125" style="763" customWidth="1"/>
    <col min="774" max="774" width="13.5703125" style="763" customWidth="1"/>
    <col min="775" max="775" width="14.85546875" style="763" customWidth="1"/>
    <col min="776" max="776" width="12.140625" style="763" customWidth="1"/>
    <col min="777" max="777" width="9.28515625" style="763" bestFit="1" customWidth="1"/>
    <col min="778" max="778" width="9.140625" style="763" customWidth="1"/>
    <col min="779" max="779" width="15" style="763" customWidth="1"/>
    <col min="780" max="780" width="11.28515625" style="763" customWidth="1"/>
    <col min="781" max="781" width="9.140625" style="763" customWidth="1"/>
    <col min="782" max="787" width="9.28515625" style="763" bestFit="1" customWidth="1"/>
    <col min="788" max="788" width="9.140625" style="763"/>
    <col min="789" max="790" width="9.28515625" style="763" bestFit="1" customWidth="1"/>
    <col min="791" max="791" width="9.140625" style="763"/>
    <col min="792" max="792" width="9.28515625" style="763" bestFit="1" customWidth="1"/>
    <col min="793" max="793" width="9.140625" style="763"/>
    <col min="794" max="794" width="9.28515625" style="763" bestFit="1" customWidth="1"/>
    <col min="795" max="795" width="9.140625" style="763"/>
    <col min="796" max="797" width="9.28515625" style="763" bestFit="1" customWidth="1"/>
    <col min="798" max="799" width="9.140625" style="763"/>
    <col min="800" max="802" width="9.28515625" style="763" bestFit="1" customWidth="1"/>
    <col min="803" max="803" width="9.140625" style="763"/>
    <col min="804" max="810" width="9.28515625" style="763" bestFit="1" customWidth="1"/>
    <col min="811" max="1024" width="9.140625" style="763"/>
    <col min="1025" max="1027" width="9.28515625" style="763" bestFit="1" customWidth="1"/>
    <col min="1028" max="1028" width="12.5703125" style="763" customWidth="1"/>
    <col min="1029" max="1029" width="15.5703125" style="763" customWidth="1"/>
    <col min="1030" max="1030" width="13.5703125" style="763" customWidth="1"/>
    <col min="1031" max="1031" width="14.85546875" style="763" customWidth="1"/>
    <col min="1032" max="1032" width="12.140625" style="763" customWidth="1"/>
    <col min="1033" max="1033" width="9.28515625" style="763" bestFit="1" customWidth="1"/>
    <col min="1034" max="1034" width="9.140625" style="763" customWidth="1"/>
    <col min="1035" max="1035" width="15" style="763" customWidth="1"/>
    <col min="1036" max="1036" width="11.28515625" style="763" customWidth="1"/>
    <col min="1037" max="1037" width="9.140625" style="763" customWidth="1"/>
    <col min="1038" max="1043" width="9.28515625" style="763" bestFit="1" customWidth="1"/>
    <col min="1044" max="1044" width="9.140625" style="763"/>
    <col min="1045" max="1046" width="9.28515625" style="763" bestFit="1" customWidth="1"/>
    <col min="1047" max="1047" width="9.140625" style="763"/>
    <col min="1048" max="1048" width="9.28515625" style="763" bestFit="1" customWidth="1"/>
    <col min="1049" max="1049" width="9.140625" style="763"/>
    <col min="1050" max="1050" width="9.28515625" style="763" bestFit="1" customWidth="1"/>
    <col min="1051" max="1051" width="9.140625" style="763"/>
    <col min="1052" max="1053" width="9.28515625" style="763" bestFit="1" customWidth="1"/>
    <col min="1054" max="1055" width="9.140625" style="763"/>
    <col min="1056" max="1058" width="9.28515625" style="763" bestFit="1" customWidth="1"/>
    <col min="1059" max="1059" width="9.140625" style="763"/>
    <col min="1060" max="1066" width="9.28515625" style="763" bestFit="1" customWidth="1"/>
    <col min="1067" max="1280" width="9.140625" style="763"/>
    <col min="1281" max="1283" width="9.28515625" style="763" bestFit="1" customWidth="1"/>
    <col min="1284" max="1284" width="12.5703125" style="763" customWidth="1"/>
    <col min="1285" max="1285" width="15.5703125" style="763" customWidth="1"/>
    <col min="1286" max="1286" width="13.5703125" style="763" customWidth="1"/>
    <col min="1287" max="1287" width="14.85546875" style="763" customWidth="1"/>
    <col min="1288" max="1288" width="12.140625" style="763" customWidth="1"/>
    <col min="1289" max="1289" width="9.28515625" style="763" bestFit="1" customWidth="1"/>
    <col min="1290" max="1290" width="9.140625" style="763" customWidth="1"/>
    <col min="1291" max="1291" width="15" style="763" customWidth="1"/>
    <col min="1292" max="1292" width="11.28515625" style="763" customWidth="1"/>
    <col min="1293" max="1293" width="9.140625" style="763" customWidth="1"/>
    <col min="1294" max="1299" width="9.28515625" style="763" bestFit="1" customWidth="1"/>
    <col min="1300" max="1300" width="9.140625" style="763"/>
    <col min="1301" max="1302" width="9.28515625" style="763" bestFit="1" customWidth="1"/>
    <col min="1303" max="1303" width="9.140625" style="763"/>
    <col min="1304" max="1304" width="9.28515625" style="763" bestFit="1" customWidth="1"/>
    <col min="1305" max="1305" width="9.140625" style="763"/>
    <col min="1306" max="1306" width="9.28515625" style="763" bestFit="1" customWidth="1"/>
    <col min="1307" max="1307" width="9.140625" style="763"/>
    <col min="1308" max="1309" width="9.28515625" style="763" bestFit="1" customWidth="1"/>
    <col min="1310" max="1311" width="9.140625" style="763"/>
    <col min="1312" max="1314" width="9.28515625" style="763" bestFit="1" customWidth="1"/>
    <col min="1315" max="1315" width="9.140625" style="763"/>
    <col min="1316" max="1322" width="9.28515625" style="763" bestFit="1" customWidth="1"/>
    <col min="1323" max="1536" width="9.140625" style="763"/>
    <col min="1537" max="1539" width="9.28515625" style="763" bestFit="1" customWidth="1"/>
    <col min="1540" max="1540" width="12.5703125" style="763" customWidth="1"/>
    <col min="1541" max="1541" width="15.5703125" style="763" customWidth="1"/>
    <col min="1542" max="1542" width="13.5703125" style="763" customWidth="1"/>
    <col min="1543" max="1543" width="14.85546875" style="763" customWidth="1"/>
    <col min="1544" max="1544" width="12.140625" style="763" customWidth="1"/>
    <col min="1545" max="1545" width="9.28515625" style="763" bestFit="1" customWidth="1"/>
    <col min="1546" max="1546" width="9.140625" style="763" customWidth="1"/>
    <col min="1547" max="1547" width="15" style="763" customWidth="1"/>
    <col min="1548" max="1548" width="11.28515625" style="763" customWidth="1"/>
    <col min="1549" max="1549" width="9.140625" style="763" customWidth="1"/>
    <col min="1550" max="1555" width="9.28515625" style="763" bestFit="1" customWidth="1"/>
    <col min="1556" max="1556" width="9.140625" style="763"/>
    <col min="1557" max="1558" width="9.28515625" style="763" bestFit="1" customWidth="1"/>
    <col min="1559" max="1559" width="9.140625" style="763"/>
    <col min="1560" max="1560" width="9.28515625" style="763" bestFit="1" customWidth="1"/>
    <col min="1561" max="1561" width="9.140625" style="763"/>
    <col min="1562" max="1562" width="9.28515625" style="763" bestFit="1" customWidth="1"/>
    <col min="1563" max="1563" width="9.140625" style="763"/>
    <col min="1564" max="1565" width="9.28515625" style="763" bestFit="1" customWidth="1"/>
    <col min="1566" max="1567" width="9.140625" style="763"/>
    <col min="1568" max="1570" width="9.28515625" style="763" bestFit="1" customWidth="1"/>
    <col min="1571" max="1571" width="9.140625" style="763"/>
    <col min="1572" max="1578" width="9.28515625" style="763" bestFit="1" customWidth="1"/>
    <col min="1579" max="1792" width="9.140625" style="763"/>
    <col min="1793" max="1795" width="9.28515625" style="763" bestFit="1" customWidth="1"/>
    <col min="1796" max="1796" width="12.5703125" style="763" customWidth="1"/>
    <col min="1797" max="1797" width="15.5703125" style="763" customWidth="1"/>
    <col min="1798" max="1798" width="13.5703125" style="763" customWidth="1"/>
    <col min="1799" max="1799" width="14.85546875" style="763" customWidth="1"/>
    <col min="1800" max="1800" width="12.140625" style="763" customWidth="1"/>
    <col min="1801" max="1801" width="9.28515625" style="763" bestFit="1" customWidth="1"/>
    <col min="1802" max="1802" width="9.140625" style="763" customWidth="1"/>
    <col min="1803" max="1803" width="15" style="763" customWidth="1"/>
    <col min="1804" max="1804" width="11.28515625" style="763" customWidth="1"/>
    <col min="1805" max="1805" width="9.140625" style="763" customWidth="1"/>
    <col min="1806" max="1811" width="9.28515625" style="763" bestFit="1" customWidth="1"/>
    <col min="1812" max="1812" width="9.140625" style="763"/>
    <col min="1813" max="1814" width="9.28515625" style="763" bestFit="1" customWidth="1"/>
    <col min="1815" max="1815" width="9.140625" style="763"/>
    <col min="1816" max="1816" width="9.28515625" style="763" bestFit="1" customWidth="1"/>
    <col min="1817" max="1817" width="9.140625" style="763"/>
    <col min="1818" max="1818" width="9.28515625" style="763" bestFit="1" customWidth="1"/>
    <col min="1819" max="1819" width="9.140625" style="763"/>
    <col min="1820" max="1821" width="9.28515625" style="763" bestFit="1" customWidth="1"/>
    <col min="1822" max="1823" width="9.140625" style="763"/>
    <col min="1824" max="1826" width="9.28515625" style="763" bestFit="1" customWidth="1"/>
    <col min="1827" max="1827" width="9.140625" style="763"/>
    <col min="1828" max="1834" width="9.28515625" style="763" bestFit="1" customWidth="1"/>
    <col min="1835" max="2048" width="9.140625" style="763"/>
    <col min="2049" max="2051" width="9.28515625" style="763" bestFit="1" customWidth="1"/>
    <col min="2052" max="2052" width="12.5703125" style="763" customWidth="1"/>
    <col min="2053" max="2053" width="15.5703125" style="763" customWidth="1"/>
    <col min="2054" max="2054" width="13.5703125" style="763" customWidth="1"/>
    <col min="2055" max="2055" width="14.85546875" style="763" customWidth="1"/>
    <col min="2056" max="2056" width="12.140625" style="763" customWidth="1"/>
    <col min="2057" max="2057" width="9.28515625" style="763" bestFit="1" customWidth="1"/>
    <col min="2058" max="2058" width="9.140625" style="763" customWidth="1"/>
    <col min="2059" max="2059" width="15" style="763" customWidth="1"/>
    <col min="2060" max="2060" width="11.28515625" style="763" customWidth="1"/>
    <col min="2061" max="2061" width="9.140625" style="763" customWidth="1"/>
    <col min="2062" max="2067" width="9.28515625" style="763" bestFit="1" customWidth="1"/>
    <col min="2068" max="2068" width="9.140625" style="763"/>
    <col min="2069" max="2070" width="9.28515625" style="763" bestFit="1" customWidth="1"/>
    <col min="2071" max="2071" width="9.140625" style="763"/>
    <col min="2072" max="2072" width="9.28515625" style="763" bestFit="1" customWidth="1"/>
    <col min="2073" max="2073" width="9.140625" style="763"/>
    <col min="2074" max="2074" width="9.28515625" style="763" bestFit="1" customWidth="1"/>
    <col min="2075" max="2075" width="9.140625" style="763"/>
    <col min="2076" max="2077" width="9.28515625" style="763" bestFit="1" customWidth="1"/>
    <col min="2078" max="2079" width="9.140625" style="763"/>
    <col min="2080" max="2082" width="9.28515625" style="763" bestFit="1" customWidth="1"/>
    <col min="2083" max="2083" width="9.140625" style="763"/>
    <col min="2084" max="2090" width="9.28515625" style="763" bestFit="1" customWidth="1"/>
    <col min="2091" max="2304" width="9.140625" style="763"/>
    <col min="2305" max="2307" width="9.28515625" style="763" bestFit="1" customWidth="1"/>
    <col min="2308" max="2308" width="12.5703125" style="763" customWidth="1"/>
    <col min="2309" max="2309" width="15.5703125" style="763" customWidth="1"/>
    <col min="2310" max="2310" width="13.5703125" style="763" customWidth="1"/>
    <col min="2311" max="2311" width="14.85546875" style="763" customWidth="1"/>
    <col min="2312" max="2312" width="12.140625" style="763" customWidth="1"/>
    <col min="2313" max="2313" width="9.28515625" style="763" bestFit="1" customWidth="1"/>
    <col min="2314" max="2314" width="9.140625" style="763" customWidth="1"/>
    <col min="2315" max="2315" width="15" style="763" customWidth="1"/>
    <col min="2316" max="2316" width="11.28515625" style="763" customWidth="1"/>
    <col min="2317" max="2317" width="9.140625" style="763" customWidth="1"/>
    <col min="2318" max="2323" width="9.28515625" style="763" bestFit="1" customWidth="1"/>
    <col min="2324" max="2324" width="9.140625" style="763"/>
    <col min="2325" max="2326" width="9.28515625" style="763" bestFit="1" customWidth="1"/>
    <col min="2327" max="2327" width="9.140625" style="763"/>
    <col min="2328" max="2328" width="9.28515625" style="763" bestFit="1" customWidth="1"/>
    <col min="2329" max="2329" width="9.140625" style="763"/>
    <col min="2330" max="2330" width="9.28515625" style="763" bestFit="1" customWidth="1"/>
    <col min="2331" max="2331" width="9.140625" style="763"/>
    <col min="2332" max="2333" width="9.28515625" style="763" bestFit="1" customWidth="1"/>
    <col min="2334" max="2335" width="9.140625" style="763"/>
    <col min="2336" max="2338" width="9.28515625" style="763" bestFit="1" customWidth="1"/>
    <col min="2339" max="2339" width="9.140625" style="763"/>
    <col min="2340" max="2346" width="9.28515625" style="763" bestFit="1" customWidth="1"/>
    <col min="2347" max="2560" width="9.140625" style="763"/>
    <col min="2561" max="2563" width="9.28515625" style="763" bestFit="1" customWidth="1"/>
    <col min="2564" max="2564" width="12.5703125" style="763" customWidth="1"/>
    <col min="2565" max="2565" width="15.5703125" style="763" customWidth="1"/>
    <col min="2566" max="2566" width="13.5703125" style="763" customWidth="1"/>
    <col min="2567" max="2567" width="14.85546875" style="763" customWidth="1"/>
    <col min="2568" max="2568" width="12.140625" style="763" customWidth="1"/>
    <col min="2569" max="2569" width="9.28515625" style="763" bestFit="1" customWidth="1"/>
    <col min="2570" max="2570" width="9.140625" style="763" customWidth="1"/>
    <col min="2571" max="2571" width="15" style="763" customWidth="1"/>
    <col min="2572" max="2572" width="11.28515625" style="763" customWidth="1"/>
    <col min="2573" max="2573" width="9.140625" style="763" customWidth="1"/>
    <col min="2574" max="2579" width="9.28515625" style="763" bestFit="1" customWidth="1"/>
    <col min="2580" max="2580" width="9.140625" style="763"/>
    <col min="2581" max="2582" width="9.28515625" style="763" bestFit="1" customWidth="1"/>
    <col min="2583" max="2583" width="9.140625" style="763"/>
    <col min="2584" max="2584" width="9.28515625" style="763" bestFit="1" customWidth="1"/>
    <col min="2585" max="2585" width="9.140625" style="763"/>
    <col min="2586" max="2586" width="9.28515625" style="763" bestFit="1" customWidth="1"/>
    <col min="2587" max="2587" width="9.140625" style="763"/>
    <col min="2588" max="2589" width="9.28515625" style="763" bestFit="1" customWidth="1"/>
    <col min="2590" max="2591" width="9.140625" style="763"/>
    <col min="2592" max="2594" width="9.28515625" style="763" bestFit="1" customWidth="1"/>
    <col min="2595" max="2595" width="9.140625" style="763"/>
    <col min="2596" max="2602" width="9.28515625" style="763" bestFit="1" customWidth="1"/>
    <col min="2603" max="2816" width="9.140625" style="763"/>
    <col min="2817" max="2819" width="9.28515625" style="763" bestFit="1" customWidth="1"/>
    <col min="2820" max="2820" width="12.5703125" style="763" customWidth="1"/>
    <col min="2821" max="2821" width="15.5703125" style="763" customWidth="1"/>
    <col min="2822" max="2822" width="13.5703125" style="763" customWidth="1"/>
    <col min="2823" max="2823" width="14.85546875" style="763" customWidth="1"/>
    <col min="2824" max="2824" width="12.140625" style="763" customWidth="1"/>
    <col min="2825" max="2825" width="9.28515625" style="763" bestFit="1" customWidth="1"/>
    <col min="2826" max="2826" width="9.140625" style="763" customWidth="1"/>
    <col min="2827" max="2827" width="15" style="763" customWidth="1"/>
    <col min="2828" max="2828" width="11.28515625" style="763" customWidth="1"/>
    <col min="2829" max="2829" width="9.140625" style="763" customWidth="1"/>
    <col min="2830" max="2835" width="9.28515625" style="763" bestFit="1" customWidth="1"/>
    <col min="2836" max="2836" width="9.140625" style="763"/>
    <col min="2837" max="2838" width="9.28515625" style="763" bestFit="1" customWidth="1"/>
    <col min="2839" max="2839" width="9.140625" style="763"/>
    <col min="2840" max="2840" width="9.28515625" style="763" bestFit="1" customWidth="1"/>
    <col min="2841" max="2841" width="9.140625" style="763"/>
    <col min="2842" max="2842" width="9.28515625" style="763" bestFit="1" customWidth="1"/>
    <col min="2843" max="2843" width="9.140625" style="763"/>
    <col min="2844" max="2845" width="9.28515625" style="763" bestFit="1" customWidth="1"/>
    <col min="2846" max="2847" width="9.140625" style="763"/>
    <col min="2848" max="2850" width="9.28515625" style="763" bestFit="1" customWidth="1"/>
    <col min="2851" max="2851" width="9.140625" style="763"/>
    <col min="2852" max="2858" width="9.28515625" style="763" bestFit="1" customWidth="1"/>
    <col min="2859" max="3072" width="9.140625" style="763"/>
    <col min="3073" max="3075" width="9.28515625" style="763" bestFit="1" customWidth="1"/>
    <col min="3076" max="3076" width="12.5703125" style="763" customWidth="1"/>
    <col min="3077" max="3077" width="15.5703125" style="763" customWidth="1"/>
    <col min="3078" max="3078" width="13.5703125" style="763" customWidth="1"/>
    <col min="3079" max="3079" width="14.85546875" style="763" customWidth="1"/>
    <col min="3080" max="3080" width="12.140625" style="763" customWidth="1"/>
    <col min="3081" max="3081" width="9.28515625" style="763" bestFit="1" customWidth="1"/>
    <col min="3082" max="3082" width="9.140625" style="763" customWidth="1"/>
    <col min="3083" max="3083" width="15" style="763" customWidth="1"/>
    <col min="3084" max="3084" width="11.28515625" style="763" customWidth="1"/>
    <col min="3085" max="3085" width="9.140625" style="763" customWidth="1"/>
    <col min="3086" max="3091" width="9.28515625" style="763" bestFit="1" customWidth="1"/>
    <col min="3092" max="3092" width="9.140625" style="763"/>
    <col min="3093" max="3094" width="9.28515625" style="763" bestFit="1" customWidth="1"/>
    <col min="3095" max="3095" width="9.140625" style="763"/>
    <col min="3096" max="3096" width="9.28515625" style="763" bestFit="1" customWidth="1"/>
    <col min="3097" max="3097" width="9.140625" style="763"/>
    <col min="3098" max="3098" width="9.28515625" style="763" bestFit="1" customWidth="1"/>
    <col min="3099" max="3099" width="9.140625" style="763"/>
    <col min="3100" max="3101" width="9.28515625" style="763" bestFit="1" customWidth="1"/>
    <col min="3102" max="3103" width="9.140625" style="763"/>
    <col min="3104" max="3106" width="9.28515625" style="763" bestFit="1" customWidth="1"/>
    <col min="3107" max="3107" width="9.140625" style="763"/>
    <col min="3108" max="3114" width="9.28515625" style="763" bestFit="1" customWidth="1"/>
    <col min="3115" max="3328" width="9.140625" style="763"/>
    <col min="3329" max="3331" width="9.28515625" style="763" bestFit="1" customWidth="1"/>
    <col min="3332" max="3332" width="12.5703125" style="763" customWidth="1"/>
    <col min="3333" max="3333" width="15.5703125" style="763" customWidth="1"/>
    <col min="3334" max="3334" width="13.5703125" style="763" customWidth="1"/>
    <col min="3335" max="3335" width="14.85546875" style="763" customWidth="1"/>
    <col min="3336" max="3336" width="12.140625" style="763" customWidth="1"/>
    <col min="3337" max="3337" width="9.28515625" style="763" bestFit="1" customWidth="1"/>
    <col min="3338" max="3338" width="9.140625" style="763" customWidth="1"/>
    <col min="3339" max="3339" width="15" style="763" customWidth="1"/>
    <col min="3340" max="3340" width="11.28515625" style="763" customWidth="1"/>
    <col min="3341" max="3341" width="9.140625" style="763" customWidth="1"/>
    <col min="3342" max="3347" width="9.28515625" style="763" bestFit="1" customWidth="1"/>
    <col min="3348" max="3348" width="9.140625" style="763"/>
    <col min="3349" max="3350" width="9.28515625" style="763" bestFit="1" customWidth="1"/>
    <col min="3351" max="3351" width="9.140625" style="763"/>
    <col min="3352" max="3352" width="9.28515625" style="763" bestFit="1" customWidth="1"/>
    <col min="3353" max="3353" width="9.140625" style="763"/>
    <col min="3354" max="3354" width="9.28515625" style="763" bestFit="1" customWidth="1"/>
    <col min="3355" max="3355" width="9.140625" style="763"/>
    <col min="3356" max="3357" width="9.28515625" style="763" bestFit="1" customWidth="1"/>
    <col min="3358" max="3359" width="9.140625" style="763"/>
    <col min="3360" max="3362" width="9.28515625" style="763" bestFit="1" customWidth="1"/>
    <col min="3363" max="3363" width="9.140625" style="763"/>
    <col min="3364" max="3370" width="9.28515625" style="763" bestFit="1" customWidth="1"/>
    <col min="3371" max="3584" width="9.140625" style="763"/>
    <col min="3585" max="3587" width="9.28515625" style="763" bestFit="1" customWidth="1"/>
    <col min="3588" max="3588" width="12.5703125" style="763" customWidth="1"/>
    <col min="3589" max="3589" width="15.5703125" style="763" customWidth="1"/>
    <col min="3590" max="3590" width="13.5703125" style="763" customWidth="1"/>
    <col min="3591" max="3591" width="14.85546875" style="763" customWidth="1"/>
    <col min="3592" max="3592" width="12.140625" style="763" customWidth="1"/>
    <col min="3593" max="3593" width="9.28515625" style="763" bestFit="1" customWidth="1"/>
    <col min="3594" max="3594" width="9.140625" style="763" customWidth="1"/>
    <col min="3595" max="3595" width="15" style="763" customWidth="1"/>
    <col min="3596" max="3596" width="11.28515625" style="763" customWidth="1"/>
    <col min="3597" max="3597" width="9.140625" style="763" customWidth="1"/>
    <col min="3598" max="3603" width="9.28515625" style="763" bestFit="1" customWidth="1"/>
    <col min="3604" max="3604" width="9.140625" style="763"/>
    <col min="3605" max="3606" width="9.28515625" style="763" bestFit="1" customWidth="1"/>
    <col min="3607" max="3607" width="9.140625" style="763"/>
    <col min="3608" max="3608" width="9.28515625" style="763" bestFit="1" customWidth="1"/>
    <col min="3609" max="3609" width="9.140625" style="763"/>
    <col min="3610" max="3610" width="9.28515625" style="763" bestFit="1" customWidth="1"/>
    <col min="3611" max="3611" width="9.140625" style="763"/>
    <col min="3612" max="3613" width="9.28515625" style="763" bestFit="1" customWidth="1"/>
    <col min="3614" max="3615" width="9.140625" style="763"/>
    <col min="3616" max="3618" width="9.28515625" style="763" bestFit="1" customWidth="1"/>
    <col min="3619" max="3619" width="9.140625" style="763"/>
    <col min="3620" max="3626" width="9.28515625" style="763" bestFit="1" customWidth="1"/>
    <col min="3627" max="3840" width="9.140625" style="763"/>
    <col min="3841" max="3843" width="9.28515625" style="763" bestFit="1" customWidth="1"/>
    <col min="3844" max="3844" width="12.5703125" style="763" customWidth="1"/>
    <col min="3845" max="3845" width="15.5703125" style="763" customWidth="1"/>
    <col min="3846" max="3846" width="13.5703125" style="763" customWidth="1"/>
    <col min="3847" max="3847" width="14.85546875" style="763" customWidth="1"/>
    <col min="3848" max="3848" width="12.140625" style="763" customWidth="1"/>
    <col min="3849" max="3849" width="9.28515625" style="763" bestFit="1" customWidth="1"/>
    <col min="3850" max="3850" width="9.140625" style="763" customWidth="1"/>
    <col min="3851" max="3851" width="15" style="763" customWidth="1"/>
    <col min="3852" max="3852" width="11.28515625" style="763" customWidth="1"/>
    <col min="3853" max="3853" width="9.140625" style="763" customWidth="1"/>
    <col min="3854" max="3859" width="9.28515625" style="763" bestFit="1" customWidth="1"/>
    <col min="3860" max="3860" width="9.140625" style="763"/>
    <col min="3861" max="3862" width="9.28515625" style="763" bestFit="1" customWidth="1"/>
    <col min="3863" max="3863" width="9.140625" style="763"/>
    <col min="3864" max="3864" width="9.28515625" style="763" bestFit="1" customWidth="1"/>
    <col min="3865" max="3865" width="9.140625" style="763"/>
    <col min="3866" max="3866" width="9.28515625" style="763" bestFit="1" customWidth="1"/>
    <col min="3867" max="3867" width="9.140625" style="763"/>
    <col min="3868" max="3869" width="9.28515625" style="763" bestFit="1" customWidth="1"/>
    <col min="3870" max="3871" width="9.140625" style="763"/>
    <col min="3872" max="3874" width="9.28515625" style="763" bestFit="1" customWidth="1"/>
    <col min="3875" max="3875" width="9.140625" style="763"/>
    <col min="3876" max="3882" width="9.28515625" style="763" bestFit="1" customWidth="1"/>
    <col min="3883" max="4096" width="9.140625" style="763"/>
    <col min="4097" max="4099" width="9.28515625" style="763" bestFit="1" customWidth="1"/>
    <col min="4100" max="4100" width="12.5703125" style="763" customWidth="1"/>
    <col min="4101" max="4101" width="15.5703125" style="763" customWidth="1"/>
    <col min="4102" max="4102" width="13.5703125" style="763" customWidth="1"/>
    <col min="4103" max="4103" width="14.85546875" style="763" customWidth="1"/>
    <col min="4104" max="4104" width="12.140625" style="763" customWidth="1"/>
    <col min="4105" max="4105" width="9.28515625" style="763" bestFit="1" customWidth="1"/>
    <col min="4106" max="4106" width="9.140625" style="763" customWidth="1"/>
    <col min="4107" max="4107" width="15" style="763" customWidth="1"/>
    <col min="4108" max="4108" width="11.28515625" style="763" customWidth="1"/>
    <col min="4109" max="4109" width="9.140625" style="763" customWidth="1"/>
    <col min="4110" max="4115" width="9.28515625" style="763" bestFit="1" customWidth="1"/>
    <col min="4116" max="4116" width="9.140625" style="763"/>
    <col min="4117" max="4118" width="9.28515625" style="763" bestFit="1" customWidth="1"/>
    <col min="4119" max="4119" width="9.140625" style="763"/>
    <col min="4120" max="4120" width="9.28515625" style="763" bestFit="1" customWidth="1"/>
    <col min="4121" max="4121" width="9.140625" style="763"/>
    <col min="4122" max="4122" width="9.28515625" style="763" bestFit="1" customWidth="1"/>
    <col min="4123" max="4123" width="9.140625" style="763"/>
    <col min="4124" max="4125" width="9.28515625" style="763" bestFit="1" customWidth="1"/>
    <col min="4126" max="4127" width="9.140625" style="763"/>
    <col min="4128" max="4130" width="9.28515625" style="763" bestFit="1" customWidth="1"/>
    <col min="4131" max="4131" width="9.140625" style="763"/>
    <col min="4132" max="4138" width="9.28515625" style="763" bestFit="1" customWidth="1"/>
    <col min="4139" max="4352" width="9.140625" style="763"/>
    <col min="4353" max="4355" width="9.28515625" style="763" bestFit="1" customWidth="1"/>
    <col min="4356" max="4356" width="12.5703125" style="763" customWidth="1"/>
    <col min="4357" max="4357" width="15.5703125" style="763" customWidth="1"/>
    <col min="4358" max="4358" width="13.5703125" style="763" customWidth="1"/>
    <col min="4359" max="4359" width="14.85546875" style="763" customWidth="1"/>
    <col min="4360" max="4360" width="12.140625" style="763" customWidth="1"/>
    <col min="4361" max="4361" width="9.28515625" style="763" bestFit="1" customWidth="1"/>
    <col min="4362" max="4362" width="9.140625" style="763" customWidth="1"/>
    <col min="4363" max="4363" width="15" style="763" customWidth="1"/>
    <col min="4364" max="4364" width="11.28515625" style="763" customWidth="1"/>
    <col min="4365" max="4365" width="9.140625" style="763" customWidth="1"/>
    <col min="4366" max="4371" width="9.28515625" style="763" bestFit="1" customWidth="1"/>
    <col min="4372" max="4372" width="9.140625" style="763"/>
    <col min="4373" max="4374" width="9.28515625" style="763" bestFit="1" customWidth="1"/>
    <col min="4375" max="4375" width="9.140625" style="763"/>
    <col min="4376" max="4376" width="9.28515625" style="763" bestFit="1" customWidth="1"/>
    <col min="4377" max="4377" width="9.140625" style="763"/>
    <col min="4378" max="4378" width="9.28515625" style="763" bestFit="1" customWidth="1"/>
    <col min="4379" max="4379" width="9.140625" style="763"/>
    <col min="4380" max="4381" width="9.28515625" style="763" bestFit="1" customWidth="1"/>
    <col min="4382" max="4383" width="9.140625" style="763"/>
    <col min="4384" max="4386" width="9.28515625" style="763" bestFit="1" customWidth="1"/>
    <col min="4387" max="4387" width="9.140625" style="763"/>
    <col min="4388" max="4394" width="9.28515625" style="763" bestFit="1" customWidth="1"/>
    <col min="4395" max="4608" width="9.140625" style="763"/>
    <col min="4609" max="4611" width="9.28515625" style="763" bestFit="1" customWidth="1"/>
    <col min="4612" max="4612" width="12.5703125" style="763" customWidth="1"/>
    <col min="4613" max="4613" width="15.5703125" style="763" customWidth="1"/>
    <col min="4614" max="4614" width="13.5703125" style="763" customWidth="1"/>
    <col min="4615" max="4615" width="14.85546875" style="763" customWidth="1"/>
    <col min="4616" max="4616" width="12.140625" style="763" customWidth="1"/>
    <col min="4617" max="4617" width="9.28515625" style="763" bestFit="1" customWidth="1"/>
    <col min="4618" max="4618" width="9.140625" style="763" customWidth="1"/>
    <col min="4619" max="4619" width="15" style="763" customWidth="1"/>
    <col min="4620" max="4620" width="11.28515625" style="763" customWidth="1"/>
    <col min="4621" max="4621" width="9.140625" style="763" customWidth="1"/>
    <col min="4622" max="4627" width="9.28515625" style="763" bestFit="1" customWidth="1"/>
    <col min="4628" max="4628" width="9.140625" style="763"/>
    <col min="4629" max="4630" width="9.28515625" style="763" bestFit="1" customWidth="1"/>
    <col min="4631" max="4631" width="9.140625" style="763"/>
    <col min="4632" max="4632" width="9.28515625" style="763" bestFit="1" customWidth="1"/>
    <col min="4633" max="4633" width="9.140625" style="763"/>
    <col min="4634" max="4634" width="9.28515625" style="763" bestFit="1" customWidth="1"/>
    <col min="4635" max="4635" width="9.140625" style="763"/>
    <col min="4636" max="4637" width="9.28515625" style="763" bestFit="1" customWidth="1"/>
    <col min="4638" max="4639" width="9.140625" style="763"/>
    <col min="4640" max="4642" width="9.28515625" style="763" bestFit="1" customWidth="1"/>
    <col min="4643" max="4643" width="9.140625" style="763"/>
    <col min="4644" max="4650" width="9.28515625" style="763" bestFit="1" customWidth="1"/>
    <col min="4651" max="4864" width="9.140625" style="763"/>
    <col min="4865" max="4867" width="9.28515625" style="763" bestFit="1" customWidth="1"/>
    <col min="4868" max="4868" width="12.5703125" style="763" customWidth="1"/>
    <col min="4869" max="4869" width="15.5703125" style="763" customWidth="1"/>
    <col min="4870" max="4870" width="13.5703125" style="763" customWidth="1"/>
    <col min="4871" max="4871" width="14.85546875" style="763" customWidth="1"/>
    <col min="4872" max="4872" width="12.140625" style="763" customWidth="1"/>
    <col min="4873" max="4873" width="9.28515625" style="763" bestFit="1" customWidth="1"/>
    <col min="4874" max="4874" width="9.140625" style="763" customWidth="1"/>
    <col min="4875" max="4875" width="15" style="763" customWidth="1"/>
    <col min="4876" max="4876" width="11.28515625" style="763" customWidth="1"/>
    <col min="4877" max="4877" width="9.140625" style="763" customWidth="1"/>
    <col min="4878" max="4883" width="9.28515625" style="763" bestFit="1" customWidth="1"/>
    <col min="4884" max="4884" width="9.140625" style="763"/>
    <col min="4885" max="4886" width="9.28515625" style="763" bestFit="1" customWidth="1"/>
    <col min="4887" max="4887" width="9.140625" style="763"/>
    <col min="4888" max="4888" width="9.28515625" style="763" bestFit="1" customWidth="1"/>
    <col min="4889" max="4889" width="9.140625" style="763"/>
    <col min="4890" max="4890" width="9.28515625" style="763" bestFit="1" customWidth="1"/>
    <col min="4891" max="4891" width="9.140625" style="763"/>
    <col min="4892" max="4893" width="9.28515625" style="763" bestFit="1" customWidth="1"/>
    <col min="4894" max="4895" width="9.140625" style="763"/>
    <col min="4896" max="4898" width="9.28515625" style="763" bestFit="1" customWidth="1"/>
    <col min="4899" max="4899" width="9.140625" style="763"/>
    <col min="4900" max="4906" width="9.28515625" style="763" bestFit="1" customWidth="1"/>
    <col min="4907" max="5120" width="9.140625" style="763"/>
    <col min="5121" max="5123" width="9.28515625" style="763" bestFit="1" customWidth="1"/>
    <col min="5124" max="5124" width="12.5703125" style="763" customWidth="1"/>
    <col min="5125" max="5125" width="15.5703125" style="763" customWidth="1"/>
    <col min="5126" max="5126" width="13.5703125" style="763" customWidth="1"/>
    <col min="5127" max="5127" width="14.85546875" style="763" customWidth="1"/>
    <col min="5128" max="5128" width="12.140625" style="763" customWidth="1"/>
    <col min="5129" max="5129" width="9.28515625" style="763" bestFit="1" customWidth="1"/>
    <col min="5130" max="5130" width="9.140625" style="763" customWidth="1"/>
    <col min="5131" max="5131" width="15" style="763" customWidth="1"/>
    <col min="5132" max="5132" width="11.28515625" style="763" customWidth="1"/>
    <col min="5133" max="5133" width="9.140625" style="763" customWidth="1"/>
    <col min="5134" max="5139" width="9.28515625" style="763" bestFit="1" customWidth="1"/>
    <col min="5140" max="5140" width="9.140625" style="763"/>
    <col min="5141" max="5142" width="9.28515625" style="763" bestFit="1" customWidth="1"/>
    <col min="5143" max="5143" width="9.140625" style="763"/>
    <col min="5144" max="5144" width="9.28515625" style="763" bestFit="1" customWidth="1"/>
    <col min="5145" max="5145" width="9.140625" style="763"/>
    <col min="5146" max="5146" width="9.28515625" style="763" bestFit="1" customWidth="1"/>
    <col min="5147" max="5147" width="9.140625" style="763"/>
    <col min="5148" max="5149" width="9.28515625" style="763" bestFit="1" customWidth="1"/>
    <col min="5150" max="5151" width="9.140625" style="763"/>
    <col min="5152" max="5154" width="9.28515625" style="763" bestFit="1" customWidth="1"/>
    <col min="5155" max="5155" width="9.140625" style="763"/>
    <col min="5156" max="5162" width="9.28515625" style="763" bestFit="1" customWidth="1"/>
    <col min="5163" max="5376" width="9.140625" style="763"/>
    <col min="5377" max="5379" width="9.28515625" style="763" bestFit="1" customWidth="1"/>
    <col min="5380" max="5380" width="12.5703125" style="763" customWidth="1"/>
    <col min="5381" max="5381" width="15.5703125" style="763" customWidth="1"/>
    <col min="5382" max="5382" width="13.5703125" style="763" customWidth="1"/>
    <col min="5383" max="5383" width="14.85546875" style="763" customWidth="1"/>
    <col min="5384" max="5384" width="12.140625" style="763" customWidth="1"/>
    <col min="5385" max="5385" width="9.28515625" style="763" bestFit="1" customWidth="1"/>
    <col min="5386" max="5386" width="9.140625" style="763" customWidth="1"/>
    <col min="5387" max="5387" width="15" style="763" customWidth="1"/>
    <col min="5388" max="5388" width="11.28515625" style="763" customWidth="1"/>
    <col min="5389" max="5389" width="9.140625" style="763" customWidth="1"/>
    <col min="5390" max="5395" width="9.28515625" style="763" bestFit="1" customWidth="1"/>
    <col min="5396" max="5396" width="9.140625" style="763"/>
    <col min="5397" max="5398" width="9.28515625" style="763" bestFit="1" customWidth="1"/>
    <col min="5399" max="5399" width="9.140625" style="763"/>
    <col min="5400" max="5400" width="9.28515625" style="763" bestFit="1" customWidth="1"/>
    <col min="5401" max="5401" width="9.140625" style="763"/>
    <col min="5402" max="5402" width="9.28515625" style="763" bestFit="1" customWidth="1"/>
    <col min="5403" max="5403" width="9.140625" style="763"/>
    <col min="5404" max="5405" width="9.28515625" style="763" bestFit="1" customWidth="1"/>
    <col min="5406" max="5407" width="9.140625" style="763"/>
    <col min="5408" max="5410" width="9.28515625" style="763" bestFit="1" customWidth="1"/>
    <col min="5411" max="5411" width="9.140625" style="763"/>
    <col min="5412" max="5418" width="9.28515625" style="763" bestFit="1" customWidth="1"/>
    <col min="5419" max="5632" width="9.140625" style="763"/>
    <col min="5633" max="5635" width="9.28515625" style="763" bestFit="1" customWidth="1"/>
    <col min="5636" max="5636" width="12.5703125" style="763" customWidth="1"/>
    <col min="5637" max="5637" width="15.5703125" style="763" customWidth="1"/>
    <col min="5638" max="5638" width="13.5703125" style="763" customWidth="1"/>
    <col min="5639" max="5639" width="14.85546875" style="763" customWidth="1"/>
    <col min="5640" max="5640" width="12.140625" style="763" customWidth="1"/>
    <col min="5641" max="5641" width="9.28515625" style="763" bestFit="1" customWidth="1"/>
    <col min="5642" max="5642" width="9.140625" style="763" customWidth="1"/>
    <col min="5643" max="5643" width="15" style="763" customWidth="1"/>
    <col min="5644" max="5644" width="11.28515625" style="763" customWidth="1"/>
    <col min="5645" max="5645" width="9.140625" style="763" customWidth="1"/>
    <col min="5646" max="5651" width="9.28515625" style="763" bestFit="1" customWidth="1"/>
    <col min="5652" max="5652" width="9.140625" style="763"/>
    <col min="5653" max="5654" width="9.28515625" style="763" bestFit="1" customWidth="1"/>
    <col min="5655" max="5655" width="9.140625" style="763"/>
    <col min="5656" max="5656" width="9.28515625" style="763" bestFit="1" customWidth="1"/>
    <col min="5657" max="5657" width="9.140625" style="763"/>
    <col min="5658" max="5658" width="9.28515625" style="763" bestFit="1" customWidth="1"/>
    <col min="5659" max="5659" width="9.140625" style="763"/>
    <col min="5660" max="5661" width="9.28515625" style="763" bestFit="1" customWidth="1"/>
    <col min="5662" max="5663" width="9.140625" style="763"/>
    <col min="5664" max="5666" width="9.28515625" style="763" bestFit="1" customWidth="1"/>
    <col min="5667" max="5667" width="9.140625" style="763"/>
    <col min="5668" max="5674" width="9.28515625" style="763" bestFit="1" customWidth="1"/>
    <col min="5675" max="5888" width="9.140625" style="763"/>
    <col min="5889" max="5891" width="9.28515625" style="763" bestFit="1" customWidth="1"/>
    <col min="5892" max="5892" width="12.5703125" style="763" customWidth="1"/>
    <col min="5893" max="5893" width="15.5703125" style="763" customWidth="1"/>
    <col min="5894" max="5894" width="13.5703125" style="763" customWidth="1"/>
    <col min="5895" max="5895" width="14.85546875" style="763" customWidth="1"/>
    <col min="5896" max="5896" width="12.140625" style="763" customWidth="1"/>
    <col min="5897" max="5897" width="9.28515625" style="763" bestFit="1" customWidth="1"/>
    <col min="5898" max="5898" width="9.140625" style="763" customWidth="1"/>
    <col min="5899" max="5899" width="15" style="763" customWidth="1"/>
    <col min="5900" max="5900" width="11.28515625" style="763" customWidth="1"/>
    <col min="5901" max="5901" width="9.140625" style="763" customWidth="1"/>
    <col min="5902" max="5907" width="9.28515625" style="763" bestFit="1" customWidth="1"/>
    <col min="5908" max="5908" width="9.140625" style="763"/>
    <col min="5909" max="5910" width="9.28515625" style="763" bestFit="1" customWidth="1"/>
    <col min="5911" max="5911" width="9.140625" style="763"/>
    <col min="5912" max="5912" width="9.28515625" style="763" bestFit="1" customWidth="1"/>
    <col min="5913" max="5913" width="9.140625" style="763"/>
    <col min="5914" max="5914" width="9.28515625" style="763" bestFit="1" customWidth="1"/>
    <col min="5915" max="5915" width="9.140625" style="763"/>
    <col min="5916" max="5917" width="9.28515625" style="763" bestFit="1" customWidth="1"/>
    <col min="5918" max="5919" width="9.140625" style="763"/>
    <col min="5920" max="5922" width="9.28515625" style="763" bestFit="1" customWidth="1"/>
    <col min="5923" max="5923" width="9.140625" style="763"/>
    <col min="5924" max="5930" width="9.28515625" style="763" bestFit="1" customWidth="1"/>
    <col min="5931" max="6144" width="9.140625" style="763"/>
    <col min="6145" max="6147" width="9.28515625" style="763" bestFit="1" customWidth="1"/>
    <col min="6148" max="6148" width="12.5703125" style="763" customWidth="1"/>
    <col min="6149" max="6149" width="15.5703125" style="763" customWidth="1"/>
    <col min="6150" max="6150" width="13.5703125" style="763" customWidth="1"/>
    <col min="6151" max="6151" width="14.85546875" style="763" customWidth="1"/>
    <col min="6152" max="6152" width="12.140625" style="763" customWidth="1"/>
    <col min="6153" max="6153" width="9.28515625" style="763" bestFit="1" customWidth="1"/>
    <col min="6154" max="6154" width="9.140625" style="763" customWidth="1"/>
    <col min="6155" max="6155" width="15" style="763" customWidth="1"/>
    <col min="6156" max="6156" width="11.28515625" style="763" customWidth="1"/>
    <col min="6157" max="6157" width="9.140625" style="763" customWidth="1"/>
    <col min="6158" max="6163" width="9.28515625" style="763" bestFit="1" customWidth="1"/>
    <col min="6164" max="6164" width="9.140625" style="763"/>
    <col min="6165" max="6166" width="9.28515625" style="763" bestFit="1" customWidth="1"/>
    <col min="6167" max="6167" width="9.140625" style="763"/>
    <col min="6168" max="6168" width="9.28515625" style="763" bestFit="1" customWidth="1"/>
    <col min="6169" max="6169" width="9.140625" style="763"/>
    <col min="6170" max="6170" width="9.28515625" style="763" bestFit="1" customWidth="1"/>
    <col min="6171" max="6171" width="9.140625" style="763"/>
    <col min="6172" max="6173" width="9.28515625" style="763" bestFit="1" customWidth="1"/>
    <col min="6174" max="6175" width="9.140625" style="763"/>
    <col min="6176" max="6178" width="9.28515625" style="763" bestFit="1" customWidth="1"/>
    <col min="6179" max="6179" width="9.140625" style="763"/>
    <col min="6180" max="6186" width="9.28515625" style="763" bestFit="1" customWidth="1"/>
    <col min="6187" max="6400" width="9.140625" style="763"/>
    <col min="6401" max="6403" width="9.28515625" style="763" bestFit="1" customWidth="1"/>
    <col min="6404" max="6404" width="12.5703125" style="763" customWidth="1"/>
    <col min="6405" max="6405" width="15.5703125" style="763" customWidth="1"/>
    <col min="6406" max="6406" width="13.5703125" style="763" customWidth="1"/>
    <col min="6407" max="6407" width="14.85546875" style="763" customWidth="1"/>
    <col min="6408" max="6408" width="12.140625" style="763" customWidth="1"/>
    <col min="6409" max="6409" width="9.28515625" style="763" bestFit="1" customWidth="1"/>
    <col min="6410" max="6410" width="9.140625" style="763" customWidth="1"/>
    <col min="6411" max="6411" width="15" style="763" customWidth="1"/>
    <col min="6412" max="6412" width="11.28515625" style="763" customWidth="1"/>
    <col min="6413" max="6413" width="9.140625" style="763" customWidth="1"/>
    <col min="6414" max="6419" width="9.28515625" style="763" bestFit="1" customWidth="1"/>
    <col min="6420" max="6420" width="9.140625" style="763"/>
    <col min="6421" max="6422" width="9.28515625" style="763" bestFit="1" customWidth="1"/>
    <col min="6423" max="6423" width="9.140625" style="763"/>
    <col min="6424" max="6424" width="9.28515625" style="763" bestFit="1" customWidth="1"/>
    <col min="6425" max="6425" width="9.140625" style="763"/>
    <col min="6426" max="6426" width="9.28515625" style="763" bestFit="1" customWidth="1"/>
    <col min="6427" max="6427" width="9.140625" style="763"/>
    <col min="6428" max="6429" width="9.28515625" style="763" bestFit="1" customWidth="1"/>
    <col min="6430" max="6431" width="9.140625" style="763"/>
    <col min="6432" max="6434" width="9.28515625" style="763" bestFit="1" customWidth="1"/>
    <col min="6435" max="6435" width="9.140625" style="763"/>
    <col min="6436" max="6442" width="9.28515625" style="763" bestFit="1" customWidth="1"/>
    <col min="6443" max="6656" width="9.140625" style="763"/>
    <col min="6657" max="6659" width="9.28515625" style="763" bestFit="1" customWidth="1"/>
    <col min="6660" max="6660" width="12.5703125" style="763" customWidth="1"/>
    <col min="6661" max="6661" width="15.5703125" style="763" customWidth="1"/>
    <col min="6662" max="6662" width="13.5703125" style="763" customWidth="1"/>
    <col min="6663" max="6663" width="14.85546875" style="763" customWidth="1"/>
    <col min="6664" max="6664" width="12.140625" style="763" customWidth="1"/>
    <col min="6665" max="6665" width="9.28515625" style="763" bestFit="1" customWidth="1"/>
    <col min="6666" max="6666" width="9.140625" style="763" customWidth="1"/>
    <col min="6667" max="6667" width="15" style="763" customWidth="1"/>
    <col min="6668" max="6668" width="11.28515625" style="763" customWidth="1"/>
    <col min="6669" max="6669" width="9.140625" style="763" customWidth="1"/>
    <col min="6670" max="6675" width="9.28515625" style="763" bestFit="1" customWidth="1"/>
    <col min="6676" max="6676" width="9.140625" style="763"/>
    <col min="6677" max="6678" width="9.28515625" style="763" bestFit="1" customWidth="1"/>
    <col min="6679" max="6679" width="9.140625" style="763"/>
    <col min="6680" max="6680" width="9.28515625" style="763" bestFit="1" customWidth="1"/>
    <col min="6681" max="6681" width="9.140625" style="763"/>
    <col min="6682" max="6682" width="9.28515625" style="763" bestFit="1" customWidth="1"/>
    <col min="6683" max="6683" width="9.140625" style="763"/>
    <col min="6684" max="6685" width="9.28515625" style="763" bestFit="1" customWidth="1"/>
    <col min="6686" max="6687" width="9.140625" style="763"/>
    <col min="6688" max="6690" width="9.28515625" style="763" bestFit="1" customWidth="1"/>
    <col min="6691" max="6691" width="9.140625" style="763"/>
    <col min="6692" max="6698" width="9.28515625" style="763" bestFit="1" customWidth="1"/>
    <col min="6699" max="6912" width="9.140625" style="763"/>
    <col min="6913" max="6915" width="9.28515625" style="763" bestFit="1" customWidth="1"/>
    <col min="6916" max="6916" width="12.5703125" style="763" customWidth="1"/>
    <col min="6917" max="6917" width="15.5703125" style="763" customWidth="1"/>
    <col min="6918" max="6918" width="13.5703125" style="763" customWidth="1"/>
    <col min="6919" max="6919" width="14.85546875" style="763" customWidth="1"/>
    <col min="6920" max="6920" width="12.140625" style="763" customWidth="1"/>
    <col min="6921" max="6921" width="9.28515625" style="763" bestFit="1" customWidth="1"/>
    <col min="6922" max="6922" width="9.140625" style="763" customWidth="1"/>
    <col min="6923" max="6923" width="15" style="763" customWidth="1"/>
    <col min="6924" max="6924" width="11.28515625" style="763" customWidth="1"/>
    <col min="6925" max="6925" width="9.140625" style="763" customWidth="1"/>
    <col min="6926" max="6931" width="9.28515625" style="763" bestFit="1" customWidth="1"/>
    <col min="6932" max="6932" width="9.140625" style="763"/>
    <col min="6933" max="6934" width="9.28515625" style="763" bestFit="1" customWidth="1"/>
    <col min="6935" max="6935" width="9.140625" style="763"/>
    <col min="6936" max="6936" width="9.28515625" style="763" bestFit="1" customWidth="1"/>
    <col min="6937" max="6937" width="9.140625" style="763"/>
    <col min="6938" max="6938" width="9.28515625" style="763" bestFit="1" customWidth="1"/>
    <col min="6939" max="6939" width="9.140625" style="763"/>
    <col min="6940" max="6941" width="9.28515625" style="763" bestFit="1" customWidth="1"/>
    <col min="6942" max="6943" width="9.140625" style="763"/>
    <col min="6944" max="6946" width="9.28515625" style="763" bestFit="1" customWidth="1"/>
    <col min="6947" max="6947" width="9.140625" style="763"/>
    <col min="6948" max="6954" width="9.28515625" style="763" bestFit="1" customWidth="1"/>
    <col min="6955" max="7168" width="9.140625" style="763"/>
    <col min="7169" max="7171" width="9.28515625" style="763" bestFit="1" customWidth="1"/>
    <col min="7172" max="7172" width="12.5703125" style="763" customWidth="1"/>
    <col min="7173" max="7173" width="15.5703125" style="763" customWidth="1"/>
    <col min="7174" max="7174" width="13.5703125" style="763" customWidth="1"/>
    <col min="7175" max="7175" width="14.85546875" style="763" customWidth="1"/>
    <col min="7176" max="7176" width="12.140625" style="763" customWidth="1"/>
    <col min="7177" max="7177" width="9.28515625" style="763" bestFit="1" customWidth="1"/>
    <col min="7178" max="7178" width="9.140625" style="763" customWidth="1"/>
    <col min="7179" max="7179" width="15" style="763" customWidth="1"/>
    <col min="7180" max="7180" width="11.28515625" style="763" customWidth="1"/>
    <col min="7181" max="7181" width="9.140625" style="763" customWidth="1"/>
    <col min="7182" max="7187" width="9.28515625" style="763" bestFit="1" customWidth="1"/>
    <col min="7188" max="7188" width="9.140625" style="763"/>
    <col min="7189" max="7190" width="9.28515625" style="763" bestFit="1" customWidth="1"/>
    <col min="7191" max="7191" width="9.140625" style="763"/>
    <col min="7192" max="7192" width="9.28515625" style="763" bestFit="1" customWidth="1"/>
    <col min="7193" max="7193" width="9.140625" style="763"/>
    <col min="7194" max="7194" width="9.28515625" style="763" bestFit="1" customWidth="1"/>
    <col min="7195" max="7195" width="9.140625" style="763"/>
    <col min="7196" max="7197" width="9.28515625" style="763" bestFit="1" customWidth="1"/>
    <col min="7198" max="7199" width="9.140625" style="763"/>
    <col min="7200" max="7202" width="9.28515625" style="763" bestFit="1" customWidth="1"/>
    <col min="7203" max="7203" width="9.140625" style="763"/>
    <col min="7204" max="7210" width="9.28515625" style="763" bestFit="1" customWidth="1"/>
    <col min="7211" max="7424" width="9.140625" style="763"/>
    <col min="7425" max="7427" width="9.28515625" style="763" bestFit="1" customWidth="1"/>
    <col min="7428" max="7428" width="12.5703125" style="763" customWidth="1"/>
    <col min="7429" max="7429" width="15.5703125" style="763" customWidth="1"/>
    <col min="7430" max="7430" width="13.5703125" style="763" customWidth="1"/>
    <col min="7431" max="7431" width="14.85546875" style="763" customWidth="1"/>
    <col min="7432" max="7432" width="12.140625" style="763" customWidth="1"/>
    <col min="7433" max="7433" width="9.28515625" style="763" bestFit="1" customWidth="1"/>
    <col min="7434" max="7434" width="9.140625" style="763" customWidth="1"/>
    <col min="7435" max="7435" width="15" style="763" customWidth="1"/>
    <col min="7436" max="7436" width="11.28515625" style="763" customWidth="1"/>
    <col min="7437" max="7437" width="9.140625" style="763" customWidth="1"/>
    <col min="7438" max="7443" width="9.28515625" style="763" bestFit="1" customWidth="1"/>
    <col min="7444" max="7444" width="9.140625" style="763"/>
    <col min="7445" max="7446" width="9.28515625" style="763" bestFit="1" customWidth="1"/>
    <col min="7447" max="7447" width="9.140625" style="763"/>
    <col min="7448" max="7448" width="9.28515625" style="763" bestFit="1" customWidth="1"/>
    <col min="7449" max="7449" width="9.140625" style="763"/>
    <col min="7450" max="7450" width="9.28515625" style="763" bestFit="1" customWidth="1"/>
    <col min="7451" max="7451" width="9.140625" style="763"/>
    <col min="7452" max="7453" width="9.28515625" style="763" bestFit="1" customWidth="1"/>
    <col min="7454" max="7455" width="9.140625" style="763"/>
    <col min="7456" max="7458" width="9.28515625" style="763" bestFit="1" customWidth="1"/>
    <col min="7459" max="7459" width="9.140625" style="763"/>
    <col min="7460" max="7466" width="9.28515625" style="763" bestFit="1" customWidth="1"/>
    <col min="7467" max="7680" width="9.140625" style="763"/>
    <col min="7681" max="7683" width="9.28515625" style="763" bestFit="1" customWidth="1"/>
    <col min="7684" max="7684" width="12.5703125" style="763" customWidth="1"/>
    <col min="7685" max="7685" width="15.5703125" style="763" customWidth="1"/>
    <col min="7686" max="7686" width="13.5703125" style="763" customWidth="1"/>
    <col min="7687" max="7687" width="14.85546875" style="763" customWidth="1"/>
    <col min="7688" max="7688" width="12.140625" style="763" customWidth="1"/>
    <col min="7689" max="7689" width="9.28515625" style="763" bestFit="1" customWidth="1"/>
    <col min="7690" max="7690" width="9.140625" style="763" customWidth="1"/>
    <col min="7691" max="7691" width="15" style="763" customWidth="1"/>
    <col min="7692" max="7692" width="11.28515625" style="763" customWidth="1"/>
    <col min="7693" max="7693" width="9.140625" style="763" customWidth="1"/>
    <col min="7694" max="7699" width="9.28515625" style="763" bestFit="1" customWidth="1"/>
    <col min="7700" max="7700" width="9.140625" style="763"/>
    <col min="7701" max="7702" width="9.28515625" style="763" bestFit="1" customWidth="1"/>
    <col min="7703" max="7703" width="9.140625" style="763"/>
    <col min="7704" max="7704" width="9.28515625" style="763" bestFit="1" customWidth="1"/>
    <col min="7705" max="7705" width="9.140625" style="763"/>
    <col min="7706" max="7706" width="9.28515625" style="763" bestFit="1" customWidth="1"/>
    <col min="7707" max="7707" width="9.140625" style="763"/>
    <col min="7708" max="7709" width="9.28515625" style="763" bestFit="1" customWidth="1"/>
    <col min="7710" max="7711" width="9.140625" style="763"/>
    <col min="7712" max="7714" width="9.28515625" style="763" bestFit="1" customWidth="1"/>
    <col min="7715" max="7715" width="9.140625" style="763"/>
    <col min="7716" max="7722" width="9.28515625" style="763" bestFit="1" customWidth="1"/>
    <col min="7723" max="7936" width="9.140625" style="763"/>
    <col min="7937" max="7939" width="9.28515625" style="763" bestFit="1" customWidth="1"/>
    <col min="7940" max="7940" width="12.5703125" style="763" customWidth="1"/>
    <col min="7941" max="7941" width="15.5703125" style="763" customWidth="1"/>
    <col min="7942" max="7942" width="13.5703125" style="763" customWidth="1"/>
    <col min="7943" max="7943" width="14.85546875" style="763" customWidth="1"/>
    <col min="7944" max="7944" width="12.140625" style="763" customWidth="1"/>
    <col min="7945" max="7945" width="9.28515625" style="763" bestFit="1" customWidth="1"/>
    <col min="7946" max="7946" width="9.140625" style="763" customWidth="1"/>
    <col min="7947" max="7947" width="15" style="763" customWidth="1"/>
    <col min="7948" max="7948" width="11.28515625" style="763" customWidth="1"/>
    <col min="7949" max="7949" width="9.140625" style="763" customWidth="1"/>
    <col min="7950" max="7955" width="9.28515625" style="763" bestFit="1" customWidth="1"/>
    <col min="7956" max="7956" width="9.140625" style="763"/>
    <col min="7957" max="7958" width="9.28515625" style="763" bestFit="1" customWidth="1"/>
    <col min="7959" max="7959" width="9.140625" style="763"/>
    <col min="7960" max="7960" width="9.28515625" style="763" bestFit="1" customWidth="1"/>
    <col min="7961" max="7961" width="9.140625" style="763"/>
    <col min="7962" max="7962" width="9.28515625" style="763" bestFit="1" customWidth="1"/>
    <col min="7963" max="7963" width="9.140625" style="763"/>
    <col min="7964" max="7965" width="9.28515625" style="763" bestFit="1" customWidth="1"/>
    <col min="7966" max="7967" width="9.140625" style="763"/>
    <col min="7968" max="7970" width="9.28515625" style="763" bestFit="1" customWidth="1"/>
    <col min="7971" max="7971" width="9.140625" style="763"/>
    <col min="7972" max="7978" width="9.28515625" style="763" bestFit="1" customWidth="1"/>
    <col min="7979" max="8192" width="9.140625" style="763"/>
    <col min="8193" max="8195" width="9.28515625" style="763" bestFit="1" customWidth="1"/>
    <col min="8196" max="8196" width="12.5703125" style="763" customWidth="1"/>
    <col min="8197" max="8197" width="15.5703125" style="763" customWidth="1"/>
    <col min="8198" max="8198" width="13.5703125" style="763" customWidth="1"/>
    <col min="8199" max="8199" width="14.85546875" style="763" customWidth="1"/>
    <col min="8200" max="8200" width="12.140625" style="763" customWidth="1"/>
    <col min="8201" max="8201" width="9.28515625" style="763" bestFit="1" customWidth="1"/>
    <col min="8202" max="8202" width="9.140625" style="763" customWidth="1"/>
    <col min="8203" max="8203" width="15" style="763" customWidth="1"/>
    <col min="8204" max="8204" width="11.28515625" style="763" customWidth="1"/>
    <col min="8205" max="8205" width="9.140625" style="763" customWidth="1"/>
    <col min="8206" max="8211" width="9.28515625" style="763" bestFit="1" customWidth="1"/>
    <col min="8212" max="8212" width="9.140625" style="763"/>
    <col min="8213" max="8214" width="9.28515625" style="763" bestFit="1" customWidth="1"/>
    <col min="8215" max="8215" width="9.140625" style="763"/>
    <col min="8216" max="8216" width="9.28515625" style="763" bestFit="1" customWidth="1"/>
    <col min="8217" max="8217" width="9.140625" style="763"/>
    <col min="8218" max="8218" width="9.28515625" style="763" bestFit="1" customWidth="1"/>
    <col min="8219" max="8219" width="9.140625" style="763"/>
    <col min="8220" max="8221" width="9.28515625" style="763" bestFit="1" customWidth="1"/>
    <col min="8222" max="8223" width="9.140625" style="763"/>
    <col min="8224" max="8226" width="9.28515625" style="763" bestFit="1" customWidth="1"/>
    <col min="8227" max="8227" width="9.140625" style="763"/>
    <col min="8228" max="8234" width="9.28515625" style="763" bestFit="1" customWidth="1"/>
    <col min="8235" max="8448" width="9.140625" style="763"/>
    <col min="8449" max="8451" width="9.28515625" style="763" bestFit="1" customWidth="1"/>
    <col min="8452" max="8452" width="12.5703125" style="763" customWidth="1"/>
    <col min="8453" max="8453" width="15.5703125" style="763" customWidth="1"/>
    <col min="8454" max="8454" width="13.5703125" style="763" customWidth="1"/>
    <col min="8455" max="8455" width="14.85546875" style="763" customWidth="1"/>
    <col min="8456" max="8456" width="12.140625" style="763" customWidth="1"/>
    <col min="8457" max="8457" width="9.28515625" style="763" bestFit="1" customWidth="1"/>
    <col min="8458" max="8458" width="9.140625" style="763" customWidth="1"/>
    <col min="8459" max="8459" width="15" style="763" customWidth="1"/>
    <col min="8460" max="8460" width="11.28515625" style="763" customWidth="1"/>
    <col min="8461" max="8461" width="9.140625" style="763" customWidth="1"/>
    <col min="8462" max="8467" width="9.28515625" style="763" bestFit="1" customWidth="1"/>
    <col min="8468" max="8468" width="9.140625" style="763"/>
    <col min="8469" max="8470" width="9.28515625" style="763" bestFit="1" customWidth="1"/>
    <col min="8471" max="8471" width="9.140625" style="763"/>
    <col min="8472" max="8472" width="9.28515625" style="763" bestFit="1" customWidth="1"/>
    <col min="8473" max="8473" width="9.140625" style="763"/>
    <col min="8474" max="8474" width="9.28515625" style="763" bestFit="1" customWidth="1"/>
    <col min="8475" max="8475" width="9.140625" style="763"/>
    <col min="8476" max="8477" width="9.28515625" style="763" bestFit="1" customWidth="1"/>
    <col min="8478" max="8479" width="9.140625" style="763"/>
    <col min="8480" max="8482" width="9.28515625" style="763" bestFit="1" customWidth="1"/>
    <col min="8483" max="8483" width="9.140625" style="763"/>
    <col min="8484" max="8490" width="9.28515625" style="763" bestFit="1" customWidth="1"/>
    <col min="8491" max="8704" width="9.140625" style="763"/>
    <col min="8705" max="8707" width="9.28515625" style="763" bestFit="1" customWidth="1"/>
    <col min="8708" max="8708" width="12.5703125" style="763" customWidth="1"/>
    <col min="8709" max="8709" width="15.5703125" style="763" customWidth="1"/>
    <col min="8710" max="8710" width="13.5703125" style="763" customWidth="1"/>
    <col min="8711" max="8711" width="14.85546875" style="763" customWidth="1"/>
    <col min="8712" max="8712" width="12.140625" style="763" customWidth="1"/>
    <col min="8713" max="8713" width="9.28515625" style="763" bestFit="1" customWidth="1"/>
    <col min="8714" max="8714" width="9.140625" style="763" customWidth="1"/>
    <col min="8715" max="8715" width="15" style="763" customWidth="1"/>
    <col min="8716" max="8716" width="11.28515625" style="763" customWidth="1"/>
    <col min="8717" max="8717" width="9.140625" style="763" customWidth="1"/>
    <col min="8718" max="8723" width="9.28515625" style="763" bestFit="1" customWidth="1"/>
    <col min="8724" max="8724" width="9.140625" style="763"/>
    <col min="8725" max="8726" width="9.28515625" style="763" bestFit="1" customWidth="1"/>
    <col min="8727" max="8727" width="9.140625" style="763"/>
    <col min="8728" max="8728" width="9.28515625" style="763" bestFit="1" customWidth="1"/>
    <col min="8729" max="8729" width="9.140625" style="763"/>
    <col min="8730" max="8730" width="9.28515625" style="763" bestFit="1" customWidth="1"/>
    <col min="8731" max="8731" width="9.140625" style="763"/>
    <col min="8732" max="8733" width="9.28515625" style="763" bestFit="1" customWidth="1"/>
    <col min="8734" max="8735" width="9.140625" style="763"/>
    <col min="8736" max="8738" width="9.28515625" style="763" bestFit="1" customWidth="1"/>
    <col min="8739" max="8739" width="9.140625" style="763"/>
    <col min="8740" max="8746" width="9.28515625" style="763" bestFit="1" customWidth="1"/>
    <col min="8747" max="8960" width="9.140625" style="763"/>
    <col min="8961" max="8963" width="9.28515625" style="763" bestFit="1" customWidth="1"/>
    <col min="8964" max="8964" width="12.5703125" style="763" customWidth="1"/>
    <col min="8965" max="8965" width="15.5703125" style="763" customWidth="1"/>
    <col min="8966" max="8966" width="13.5703125" style="763" customWidth="1"/>
    <col min="8967" max="8967" width="14.85546875" style="763" customWidth="1"/>
    <col min="8968" max="8968" width="12.140625" style="763" customWidth="1"/>
    <col min="8969" max="8969" width="9.28515625" style="763" bestFit="1" customWidth="1"/>
    <col min="8970" max="8970" width="9.140625" style="763" customWidth="1"/>
    <col min="8971" max="8971" width="15" style="763" customWidth="1"/>
    <col min="8972" max="8972" width="11.28515625" style="763" customWidth="1"/>
    <col min="8973" max="8973" width="9.140625" style="763" customWidth="1"/>
    <col min="8974" max="8979" width="9.28515625" style="763" bestFit="1" customWidth="1"/>
    <col min="8980" max="8980" width="9.140625" style="763"/>
    <col min="8981" max="8982" width="9.28515625" style="763" bestFit="1" customWidth="1"/>
    <col min="8983" max="8983" width="9.140625" style="763"/>
    <col min="8984" max="8984" width="9.28515625" style="763" bestFit="1" customWidth="1"/>
    <col min="8985" max="8985" width="9.140625" style="763"/>
    <col min="8986" max="8986" width="9.28515625" style="763" bestFit="1" customWidth="1"/>
    <col min="8987" max="8987" width="9.140625" style="763"/>
    <col min="8988" max="8989" width="9.28515625" style="763" bestFit="1" customWidth="1"/>
    <col min="8990" max="8991" width="9.140625" style="763"/>
    <col min="8992" max="8994" width="9.28515625" style="763" bestFit="1" customWidth="1"/>
    <col min="8995" max="8995" width="9.140625" style="763"/>
    <col min="8996" max="9002" width="9.28515625" style="763" bestFit="1" customWidth="1"/>
    <col min="9003" max="9216" width="9.140625" style="763"/>
    <col min="9217" max="9219" width="9.28515625" style="763" bestFit="1" customWidth="1"/>
    <col min="9220" max="9220" width="12.5703125" style="763" customWidth="1"/>
    <col min="9221" max="9221" width="15.5703125" style="763" customWidth="1"/>
    <col min="9222" max="9222" width="13.5703125" style="763" customWidth="1"/>
    <col min="9223" max="9223" width="14.85546875" style="763" customWidth="1"/>
    <col min="9224" max="9224" width="12.140625" style="763" customWidth="1"/>
    <col min="9225" max="9225" width="9.28515625" style="763" bestFit="1" customWidth="1"/>
    <col min="9226" max="9226" width="9.140625" style="763" customWidth="1"/>
    <col min="9227" max="9227" width="15" style="763" customWidth="1"/>
    <col min="9228" max="9228" width="11.28515625" style="763" customWidth="1"/>
    <col min="9229" max="9229" width="9.140625" style="763" customWidth="1"/>
    <col min="9230" max="9235" width="9.28515625" style="763" bestFit="1" customWidth="1"/>
    <col min="9236" max="9236" width="9.140625" style="763"/>
    <col min="9237" max="9238" width="9.28515625" style="763" bestFit="1" customWidth="1"/>
    <col min="9239" max="9239" width="9.140625" style="763"/>
    <col min="9240" max="9240" width="9.28515625" style="763" bestFit="1" customWidth="1"/>
    <col min="9241" max="9241" width="9.140625" style="763"/>
    <col min="9242" max="9242" width="9.28515625" style="763" bestFit="1" customWidth="1"/>
    <col min="9243" max="9243" width="9.140625" style="763"/>
    <col min="9244" max="9245" width="9.28515625" style="763" bestFit="1" customWidth="1"/>
    <col min="9246" max="9247" width="9.140625" style="763"/>
    <col min="9248" max="9250" width="9.28515625" style="763" bestFit="1" customWidth="1"/>
    <col min="9251" max="9251" width="9.140625" style="763"/>
    <col min="9252" max="9258" width="9.28515625" style="763" bestFit="1" customWidth="1"/>
    <col min="9259" max="9472" width="9.140625" style="763"/>
    <col min="9473" max="9475" width="9.28515625" style="763" bestFit="1" customWidth="1"/>
    <col min="9476" max="9476" width="12.5703125" style="763" customWidth="1"/>
    <col min="9477" max="9477" width="15.5703125" style="763" customWidth="1"/>
    <col min="9478" max="9478" width="13.5703125" style="763" customWidth="1"/>
    <col min="9479" max="9479" width="14.85546875" style="763" customWidth="1"/>
    <col min="9480" max="9480" width="12.140625" style="763" customWidth="1"/>
    <col min="9481" max="9481" width="9.28515625" style="763" bestFit="1" customWidth="1"/>
    <col min="9482" max="9482" width="9.140625" style="763" customWidth="1"/>
    <col min="9483" max="9483" width="15" style="763" customWidth="1"/>
    <col min="9484" max="9484" width="11.28515625" style="763" customWidth="1"/>
    <col min="9485" max="9485" width="9.140625" style="763" customWidth="1"/>
    <col min="9486" max="9491" width="9.28515625" style="763" bestFit="1" customWidth="1"/>
    <col min="9492" max="9492" width="9.140625" style="763"/>
    <col min="9493" max="9494" width="9.28515625" style="763" bestFit="1" customWidth="1"/>
    <col min="9495" max="9495" width="9.140625" style="763"/>
    <col min="9496" max="9496" width="9.28515625" style="763" bestFit="1" customWidth="1"/>
    <col min="9497" max="9497" width="9.140625" style="763"/>
    <col min="9498" max="9498" width="9.28515625" style="763" bestFit="1" customWidth="1"/>
    <col min="9499" max="9499" width="9.140625" style="763"/>
    <col min="9500" max="9501" width="9.28515625" style="763" bestFit="1" customWidth="1"/>
    <col min="9502" max="9503" width="9.140625" style="763"/>
    <col min="9504" max="9506" width="9.28515625" style="763" bestFit="1" customWidth="1"/>
    <col min="9507" max="9507" width="9.140625" style="763"/>
    <col min="9508" max="9514" width="9.28515625" style="763" bestFit="1" customWidth="1"/>
    <col min="9515" max="9728" width="9.140625" style="763"/>
    <col min="9729" max="9731" width="9.28515625" style="763" bestFit="1" customWidth="1"/>
    <col min="9732" max="9732" width="12.5703125" style="763" customWidth="1"/>
    <col min="9733" max="9733" width="15.5703125" style="763" customWidth="1"/>
    <col min="9734" max="9734" width="13.5703125" style="763" customWidth="1"/>
    <col min="9735" max="9735" width="14.85546875" style="763" customWidth="1"/>
    <col min="9736" max="9736" width="12.140625" style="763" customWidth="1"/>
    <col min="9737" max="9737" width="9.28515625" style="763" bestFit="1" customWidth="1"/>
    <col min="9738" max="9738" width="9.140625" style="763" customWidth="1"/>
    <col min="9739" max="9739" width="15" style="763" customWidth="1"/>
    <col min="9740" max="9740" width="11.28515625" style="763" customWidth="1"/>
    <col min="9741" max="9741" width="9.140625" style="763" customWidth="1"/>
    <col min="9742" max="9747" width="9.28515625" style="763" bestFit="1" customWidth="1"/>
    <col min="9748" max="9748" width="9.140625" style="763"/>
    <col min="9749" max="9750" width="9.28515625" style="763" bestFit="1" customWidth="1"/>
    <col min="9751" max="9751" width="9.140625" style="763"/>
    <col min="9752" max="9752" width="9.28515625" style="763" bestFit="1" customWidth="1"/>
    <col min="9753" max="9753" width="9.140625" style="763"/>
    <col min="9754" max="9754" width="9.28515625" style="763" bestFit="1" customWidth="1"/>
    <col min="9755" max="9755" width="9.140625" style="763"/>
    <col min="9756" max="9757" width="9.28515625" style="763" bestFit="1" customWidth="1"/>
    <col min="9758" max="9759" width="9.140625" style="763"/>
    <col min="9760" max="9762" width="9.28515625" style="763" bestFit="1" customWidth="1"/>
    <col min="9763" max="9763" width="9.140625" style="763"/>
    <col min="9764" max="9770" width="9.28515625" style="763" bestFit="1" customWidth="1"/>
    <col min="9771" max="9984" width="9.140625" style="763"/>
    <col min="9985" max="9987" width="9.28515625" style="763" bestFit="1" customWidth="1"/>
    <col min="9988" max="9988" width="12.5703125" style="763" customWidth="1"/>
    <col min="9989" max="9989" width="15.5703125" style="763" customWidth="1"/>
    <col min="9990" max="9990" width="13.5703125" style="763" customWidth="1"/>
    <col min="9991" max="9991" width="14.85546875" style="763" customWidth="1"/>
    <col min="9992" max="9992" width="12.140625" style="763" customWidth="1"/>
    <col min="9993" max="9993" width="9.28515625" style="763" bestFit="1" customWidth="1"/>
    <col min="9994" max="9994" width="9.140625" style="763" customWidth="1"/>
    <col min="9995" max="9995" width="15" style="763" customWidth="1"/>
    <col min="9996" max="9996" width="11.28515625" style="763" customWidth="1"/>
    <col min="9997" max="9997" width="9.140625" style="763" customWidth="1"/>
    <col min="9998" max="10003" width="9.28515625" style="763" bestFit="1" customWidth="1"/>
    <col min="10004" max="10004" width="9.140625" style="763"/>
    <col min="10005" max="10006" width="9.28515625" style="763" bestFit="1" customWidth="1"/>
    <col min="10007" max="10007" width="9.140625" style="763"/>
    <col min="10008" max="10008" width="9.28515625" style="763" bestFit="1" customWidth="1"/>
    <col min="10009" max="10009" width="9.140625" style="763"/>
    <col min="10010" max="10010" width="9.28515625" style="763" bestFit="1" customWidth="1"/>
    <col min="10011" max="10011" width="9.140625" style="763"/>
    <col min="10012" max="10013" width="9.28515625" style="763" bestFit="1" customWidth="1"/>
    <col min="10014" max="10015" width="9.140625" style="763"/>
    <col min="10016" max="10018" width="9.28515625" style="763" bestFit="1" customWidth="1"/>
    <col min="10019" max="10019" width="9.140625" style="763"/>
    <col min="10020" max="10026" width="9.28515625" style="763" bestFit="1" customWidth="1"/>
    <col min="10027" max="10240" width="9.140625" style="763"/>
    <col min="10241" max="10243" width="9.28515625" style="763" bestFit="1" customWidth="1"/>
    <col min="10244" max="10244" width="12.5703125" style="763" customWidth="1"/>
    <col min="10245" max="10245" width="15.5703125" style="763" customWidth="1"/>
    <col min="10246" max="10246" width="13.5703125" style="763" customWidth="1"/>
    <col min="10247" max="10247" width="14.85546875" style="763" customWidth="1"/>
    <col min="10248" max="10248" width="12.140625" style="763" customWidth="1"/>
    <col min="10249" max="10249" width="9.28515625" style="763" bestFit="1" customWidth="1"/>
    <col min="10250" max="10250" width="9.140625" style="763" customWidth="1"/>
    <col min="10251" max="10251" width="15" style="763" customWidth="1"/>
    <col min="10252" max="10252" width="11.28515625" style="763" customWidth="1"/>
    <col min="10253" max="10253" width="9.140625" style="763" customWidth="1"/>
    <col min="10254" max="10259" width="9.28515625" style="763" bestFit="1" customWidth="1"/>
    <col min="10260" max="10260" width="9.140625" style="763"/>
    <col min="10261" max="10262" width="9.28515625" style="763" bestFit="1" customWidth="1"/>
    <col min="10263" max="10263" width="9.140625" style="763"/>
    <col min="10264" max="10264" width="9.28515625" style="763" bestFit="1" customWidth="1"/>
    <col min="10265" max="10265" width="9.140625" style="763"/>
    <col min="10266" max="10266" width="9.28515625" style="763" bestFit="1" customWidth="1"/>
    <col min="10267" max="10267" width="9.140625" style="763"/>
    <col min="10268" max="10269" width="9.28515625" style="763" bestFit="1" customWidth="1"/>
    <col min="10270" max="10271" width="9.140625" style="763"/>
    <col min="10272" max="10274" width="9.28515625" style="763" bestFit="1" customWidth="1"/>
    <col min="10275" max="10275" width="9.140625" style="763"/>
    <col min="10276" max="10282" width="9.28515625" style="763" bestFit="1" customWidth="1"/>
    <col min="10283" max="10496" width="9.140625" style="763"/>
    <col min="10497" max="10499" width="9.28515625" style="763" bestFit="1" customWidth="1"/>
    <col min="10500" max="10500" width="12.5703125" style="763" customWidth="1"/>
    <col min="10501" max="10501" width="15.5703125" style="763" customWidth="1"/>
    <col min="10502" max="10502" width="13.5703125" style="763" customWidth="1"/>
    <col min="10503" max="10503" width="14.85546875" style="763" customWidth="1"/>
    <col min="10504" max="10504" width="12.140625" style="763" customWidth="1"/>
    <col min="10505" max="10505" width="9.28515625" style="763" bestFit="1" customWidth="1"/>
    <col min="10506" max="10506" width="9.140625" style="763" customWidth="1"/>
    <col min="10507" max="10507" width="15" style="763" customWidth="1"/>
    <col min="10508" max="10508" width="11.28515625" style="763" customWidth="1"/>
    <col min="10509" max="10509" width="9.140625" style="763" customWidth="1"/>
    <col min="10510" max="10515" width="9.28515625" style="763" bestFit="1" customWidth="1"/>
    <col min="10516" max="10516" width="9.140625" style="763"/>
    <col min="10517" max="10518" width="9.28515625" style="763" bestFit="1" customWidth="1"/>
    <col min="10519" max="10519" width="9.140625" style="763"/>
    <col min="10520" max="10520" width="9.28515625" style="763" bestFit="1" customWidth="1"/>
    <col min="10521" max="10521" width="9.140625" style="763"/>
    <col min="10522" max="10522" width="9.28515625" style="763" bestFit="1" customWidth="1"/>
    <col min="10523" max="10523" width="9.140625" style="763"/>
    <col min="10524" max="10525" width="9.28515625" style="763" bestFit="1" customWidth="1"/>
    <col min="10526" max="10527" width="9.140625" style="763"/>
    <col min="10528" max="10530" width="9.28515625" style="763" bestFit="1" customWidth="1"/>
    <col min="10531" max="10531" width="9.140625" style="763"/>
    <col min="10532" max="10538" width="9.28515625" style="763" bestFit="1" customWidth="1"/>
    <col min="10539" max="10752" width="9.140625" style="763"/>
    <col min="10753" max="10755" width="9.28515625" style="763" bestFit="1" customWidth="1"/>
    <col min="10756" max="10756" width="12.5703125" style="763" customWidth="1"/>
    <col min="10757" max="10757" width="15.5703125" style="763" customWidth="1"/>
    <col min="10758" max="10758" width="13.5703125" style="763" customWidth="1"/>
    <col min="10759" max="10759" width="14.85546875" style="763" customWidth="1"/>
    <col min="10760" max="10760" width="12.140625" style="763" customWidth="1"/>
    <col min="10761" max="10761" width="9.28515625" style="763" bestFit="1" customWidth="1"/>
    <col min="10762" max="10762" width="9.140625" style="763" customWidth="1"/>
    <col min="10763" max="10763" width="15" style="763" customWidth="1"/>
    <col min="10764" max="10764" width="11.28515625" style="763" customWidth="1"/>
    <col min="10765" max="10765" width="9.140625" style="763" customWidth="1"/>
    <col min="10766" max="10771" width="9.28515625" style="763" bestFit="1" customWidth="1"/>
    <col min="10772" max="10772" width="9.140625" style="763"/>
    <col min="10773" max="10774" width="9.28515625" style="763" bestFit="1" customWidth="1"/>
    <col min="10775" max="10775" width="9.140625" style="763"/>
    <col min="10776" max="10776" width="9.28515625" style="763" bestFit="1" customWidth="1"/>
    <col min="10777" max="10777" width="9.140625" style="763"/>
    <col min="10778" max="10778" width="9.28515625" style="763" bestFit="1" customWidth="1"/>
    <col min="10779" max="10779" width="9.140625" style="763"/>
    <col min="10780" max="10781" width="9.28515625" style="763" bestFit="1" customWidth="1"/>
    <col min="10782" max="10783" width="9.140625" style="763"/>
    <col min="10784" max="10786" width="9.28515625" style="763" bestFit="1" customWidth="1"/>
    <col min="10787" max="10787" width="9.140625" style="763"/>
    <col min="10788" max="10794" width="9.28515625" style="763" bestFit="1" customWidth="1"/>
    <col min="10795" max="11008" width="9.140625" style="763"/>
    <col min="11009" max="11011" width="9.28515625" style="763" bestFit="1" customWidth="1"/>
    <col min="11012" max="11012" width="12.5703125" style="763" customWidth="1"/>
    <col min="11013" max="11013" width="15.5703125" style="763" customWidth="1"/>
    <col min="11014" max="11014" width="13.5703125" style="763" customWidth="1"/>
    <col min="11015" max="11015" width="14.85546875" style="763" customWidth="1"/>
    <col min="11016" max="11016" width="12.140625" style="763" customWidth="1"/>
    <col min="11017" max="11017" width="9.28515625" style="763" bestFit="1" customWidth="1"/>
    <col min="11018" max="11018" width="9.140625" style="763" customWidth="1"/>
    <col min="11019" max="11019" width="15" style="763" customWidth="1"/>
    <col min="11020" max="11020" width="11.28515625" style="763" customWidth="1"/>
    <col min="11021" max="11021" width="9.140625" style="763" customWidth="1"/>
    <col min="11022" max="11027" width="9.28515625" style="763" bestFit="1" customWidth="1"/>
    <col min="11028" max="11028" width="9.140625" style="763"/>
    <col min="11029" max="11030" width="9.28515625" style="763" bestFit="1" customWidth="1"/>
    <col min="11031" max="11031" width="9.140625" style="763"/>
    <col min="11032" max="11032" width="9.28515625" style="763" bestFit="1" customWidth="1"/>
    <col min="11033" max="11033" width="9.140625" style="763"/>
    <col min="11034" max="11034" width="9.28515625" style="763" bestFit="1" customWidth="1"/>
    <col min="11035" max="11035" width="9.140625" style="763"/>
    <col min="11036" max="11037" width="9.28515625" style="763" bestFit="1" customWidth="1"/>
    <col min="11038" max="11039" width="9.140625" style="763"/>
    <col min="11040" max="11042" width="9.28515625" style="763" bestFit="1" customWidth="1"/>
    <col min="11043" max="11043" width="9.140625" style="763"/>
    <col min="11044" max="11050" width="9.28515625" style="763" bestFit="1" customWidth="1"/>
    <col min="11051" max="11264" width="9.140625" style="763"/>
    <col min="11265" max="11267" width="9.28515625" style="763" bestFit="1" customWidth="1"/>
    <col min="11268" max="11268" width="12.5703125" style="763" customWidth="1"/>
    <col min="11269" max="11269" width="15.5703125" style="763" customWidth="1"/>
    <col min="11270" max="11270" width="13.5703125" style="763" customWidth="1"/>
    <col min="11271" max="11271" width="14.85546875" style="763" customWidth="1"/>
    <col min="11272" max="11272" width="12.140625" style="763" customWidth="1"/>
    <col min="11273" max="11273" width="9.28515625" style="763" bestFit="1" customWidth="1"/>
    <col min="11274" max="11274" width="9.140625" style="763" customWidth="1"/>
    <col min="11275" max="11275" width="15" style="763" customWidth="1"/>
    <col min="11276" max="11276" width="11.28515625" style="763" customWidth="1"/>
    <col min="11277" max="11277" width="9.140625" style="763" customWidth="1"/>
    <col min="11278" max="11283" width="9.28515625" style="763" bestFit="1" customWidth="1"/>
    <col min="11284" max="11284" width="9.140625" style="763"/>
    <col min="11285" max="11286" width="9.28515625" style="763" bestFit="1" customWidth="1"/>
    <col min="11287" max="11287" width="9.140625" style="763"/>
    <col min="11288" max="11288" width="9.28515625" style="763" bestFit="1" customWidth="1"/>
    <col min="11289" max="11289" width="9.140625" style="763"/>
    <col min="11290" max="11290" width="9.28515625" style="763" bestFit="1" customWidth="1"/>
    <col min="11291" max="11291" width="9.140625" style="763"/>
    <col min="11292" max="11293" width="9.28515625" style="763" bestFit="1" customWidth="1"/>
    <col min="11294" max="11295" width="9.140625" style="763"/>
    <col min="11296" max="11298" width="9.28515625" style="763" bestFit="1" customWidth="1"/>
    <col min="11299" max="11299" width="9.140625" style="763"/>
    <col min="11300" max="11306" width="9.28515625" style="763" bestFit="1" customWidth="1"/>
    <col min="11307" max="11520" width="9.140625" style="763"/>
    <col min="11521" max="11523" width="9.28515625" style="763" bestFit="1" customWidth="1"/>
    <col min="11524" max="11524" width="12.5703125" style="763" customWidth="1"/>
    <col min="11525" max="11525" width="15.5703125" style="763" customWidth="1"/>
    <col min="11526" max="11526" width="13.5703125" style="763" customWidth="1"/>
    <col min="11527" max="11527" width="14.85546875" style="763" customWidth="1"/>
    <col min="11528" max="11528" width="12.140625" style="763" customWidth="1"/>
    <col min="11529" max="11529" width="9.28515625" style="763" bestFit="1" customWidth="1"/>
    <col min="11530" max="11530" width="9.140625" style="763" customWidth="1"/>
    <col min="11531" max="11531" width="15" style="763" customWidth="1"/>
    <col min="11532" max="11532" width="11.28515625" style="763" customWidth="1"/>
    <col min="11533" max="11533" width="9.140625" style="763" customWidth="1"/>
    <col min="11534" max="11539" width="9.28515625" style="763" bestFit="1" customWidth="1"/>
    <col min="11540" max="11540" width="9.140625" style="763"/>
    <col min="11541" max="11542" width="9.28515625" style="763" bestFit="1" customWidth="1"/>
    <col min="11543" max="11543" width="9.140625" style="763"/>
    <col min="11544" max="11544" width="9.28515625" style="763" bestFit="1" customWidth="1"/>
    <col min="11545" max="11545" width="9.140625" style="763"/>
    <col min="11546" max="11546" width="9.28515625" style="763" bestFit="1" customWidth="1"/>
    <col min="11547" max="11547" width="9.140625" style="763"/>
    <col min="11548" max="11549" width="9.28515625" style="763" bestFit="1" customWidth="1"/>
    <col min="11550" max="11551" width="9.140625" style="763"/>
    <col min="11552" max="11554" width="9.28515625" style="763" bestFit="1" customWidth="1"/>
    <col min="11555" max="11555" width="9.140625" style="763"/>
    <col min="11556" max="11562" width="9.28515625" style="763" bestFit="1" customWidth="1"/>
    <col min="11563" max="11776" width="9.140625" style="763"/>
    <col min="11777" max="11779" width="9.28515625" style="763" bestFit="1" customWidth="1"/>
    <col min="11780" max="11780" width="12.5703125" style="763" customWidth="1"/>
    <col min="11781" max="11781" width="15.5703125" style="763" customWidth="1"/>
    <col min="11782" max="11782" width="13.5703125" style="763" customWidth="1"/>
    <col min="11783" max="11783" width="14.85546875" style="763" customWidth="1"/>
    <col min="11784" max="11784" width="12.140625" style="763" customWidth="1"/>
    <col min="11785" max="11785" width="9.28515625" style="763" bestFit="1" customWidth="1"/>
    <col min="11786" max="11786" width="9.140625" style="763" customWidth="1"/>
    <col min="11787" max="11787" width="15" style="763" customWidth="1"/>
    <col min="11788" max="11788" width="11.28515625" style="763" customWidth="1"/>
    <col min="11789" max="11789" width="9.140625" style="763" customWidth="1"/>
    <col min="11790" max="11795" width="9.28515625" style="763" bestFit="1" customWidth="1"/>
    <col min="11796" max="11796" width="9.140625" style="763"/>
    <col min="11797" max="11798" width="9.28515625" style="763" bestFit="1" customWidth="1"/>
    <col min="11799" max="11799" width="9.140625" style="763"/>
    <col min="11800" max="11800" width="9.28515625" style="763" bestFit="1" customWidth="1"/>
    <col min="11801" max="11801" width="9.140625" style="763"/>
    <col min="11802" max="11802" width="9.28515625" style="763" bestFit="1" customWidth="1"/>
    <col min="11803" max="11803" width="9.140625" style="763"/>
    <col min="11804" max="11805" width="9.28515625" style="763" bestFit="1" customWidth="1"/>
    <col min="11806" max="11807" width="9.140625" style="763"/>
    <col min="11808" max="11810" width="9.28515625" style="763" bestFit="1" customWidth="1"/>
    <col min="11811" max="11811" width="9.140625" style="763"/>
    <col min="11812" max="11818" width="9.28515625" style="763" bestFit="1" customWidth="1"/>
    <col min="11819" max="12032" width="9.140625" style="763"/>
    <col min="12033" max="12035" width="9.28515625" style="763" bestFit="1" customWidth="1"/>
    <col min="12036" max="12036" width="12.5703125" style="763" customWidth="1"/>
    <col min="12037" max="12037" width="15.5703125" style="763" customWidth="1"/>
    <col min="12038" max="12038" width="13.5703125" style="763" customWidth="1"/>
    <col min="12039" max="12039" width="14.85546875" style="763" customWidth="1"/>
    <col min="12040" max="12040" width="12.140625" style="763" customWidth="1"/>
    <col min="12041" max="12041" width="9.28515625" style="763" bestFit="1" customWidth="1"/>
    <col min="12042" max="12042" width="9.140625" style="763" customWidth="1"/>
    <col min="12043" max="12043" width="15" style="763" customWidth="1"/>
    <col min="12044" max="12044" width="11.28515625" style="763" customWidth="1"/>
    <col min="12045" max="12045" width="9.140625" style="763" customWidth="1"/>
    <col min="12046" max="12051" width="9.28515625" style="763" bestFit="1" customWidth="1"/>
    <col min="12052" max="12052" width="9.140625" style="763"/>
    <col min="12053" max="12054" width="9.28515625" style="763" bestFit="1" customWidth="1"/>
    <col min="12055" max="12055" width="9.140625" style="763"/>
    <col min="12056" max="12056" width="9.28515625" style="763" bestFit="1" customWidth="1"/>
    <col min="12057" max="12057" width="9.140625" style="763"/>
    <col min="12058" max="12058" width="9.28515625" style="763" bestFit="1" customWidth="1"/>
    <col min="12059" max="12059" width="9.140625" style="763"/>
    <col min="12060" max="12061" width="9.28515625" style="763" bestFit="1" customWidth="1"/>
    <col min="12062" max="12063" width="9.140625" style="763"/>
    <col min="12064" max="12066" width="9.28515625" style="763" bestFit="1" customWidth="1"/>
    <col min="12067" max="12067" width="9.140625" style="763"/>
    <col min="12068" max="12074" width="9.28515625" style="763" bestFit="1" customWidth="1"/>
    <col min="12075" max="12288" width="9.140625" style="763"/>
    <col min="12289" max="12291" width="9.28515625" style="763" bestFit="1" customWidth="1"/>
    <col min="12292" max="12292" width="12.5703125" style="763" customWidth="1"/>
    <col min="12293" max="12293" width="15.5703125" style="763" customWidth="1"/>
    <col min="12294" max="12294" width="13.5703125" style="763" customWidth="1"/>
    <col min="12295" max="12295" width="14.85546875" style="763" customWidth="1"/>
    <col min="12296" max="12296" width="12.140625" style="763" customWidth="1"/>
    <col min="12297" max="12297" width="9.28515625" style="763" bestFit="1" customWidth="1"/>
    <col min="12298" max="12298" width="9.140625" style="763" customWidth="1"/>
    <col min="12299" max="12299" width="15" style="763" customWidth="1"/>
    <col min="12300" max="12300" width="11.28515625" style="763" customWidth="1"/>
    <col min="12301" max="12301" width="9.140625" style="763" customWidth="1"/>
    <col min="12302" max="12307" width="9.28515625" style="763" bestFit="1" customWidth="1"/>
    <col min="12308" max="12308" width="9.140625" style="763"/>
    <col min="12309" max="12310" width="9.28515625" style="763" bestFit="1" customWidth="1"/>
    <col min="12311" max="12311" width="9.140625" style="763"/>
    <col min="12312" max="12312" width="9.28515625" style="763" bestFit="1" customWidth="1"/>
    <col min="12313" max="12313" width="9.140625" style="763"/>
    <col min="12314" max="12314" width="9.28515625" style="763" bestFit="1" customWidth="1"/>
    <col min="12315" max="12315" width="9.140625" style="763"/>
    <col min="12316" max="12317" width="9.28515625" style="763" bestFit="1" customWidth="1"/>
    <col min="12318" max="12319" width="9.140625" style="763"/>
    <col min="12320" max="12322" width="9.28515625" style="763" bestFit="1" customWidth="1"/>
    <col min="12323" max="12323" width="9.140625" style="763"/>
    <col min="12324" max="12330" width="9.28515625" style="763" bestFit="1" customWidth="1"/>
    <col min="12331" max="12544" width="9.140625" style="763"/>
    <col min="12545" max="12547" width="9.28515625" style="763" bestFit="1" customWidth="1"/>
    <col min="12548" max="12548" width="12.5703125" style="763" customWidth="1"/>
    <col min="12549" max="12549" width="15.5703125" style="763" customWidth="1"/>
    <col min="12550" max="12550" width="13.5703125" style="763" customWidth="1"/>
    <col min="12551" max="12551" width="14.85546875" style="763" customWidth="1"/>
    <col min="12552" max="12552" width="12.140625" style="763" customWidth="1"/>
    <col min="12553" max="12553" width="9.28515625" style="763" bestFit="1" customWidth="1"/>
    <col min="12554" max="12554" width="9.140625" style="763" customWidth="1"/>
    <col min="12555" max="12555" width="15" style="763" customWidth="1"/>
    <col min="12556" max="12556" width="11.28515625" style="763" customWidth="1"/>
    <col min="12557" max="12557" width="9.140625" style="763" customWidth="1"/>
    <col min="12558" max="12563" width="9.28515625" style="763" bestFit="1" customWidth="1"/>
    <col min="12564" max="12564" width="9.140625" style="763"/>
    <col min="12565" max="12566" width="9.28515625" style="763" bestFit="1" customWidth="1"/>
    <col min="12567" max="12567" width="9.140625" style="763"/>
    <col min="12568" max="12568" width="9.28515625" style="763" bestFit="1" customWidth="1"/>
    <col min="12569" max="12569" width="9.140625" style="763"/>
    <col min="12570" max="12570" width="9.28515625" style="763" bestFit="1" customWidth="1"/>
    <col min="12571" max="12571" width="9.140625" style="763"/>
    <col min="12572" max="12573" width="9.28515625" style="763" bestFit="1" customWidth="1"/>
    <col min="12574" max="12575" width="9.140625" style="763"/>
    <col min="12576" max="12578" width="9.28515625" style="763" bestFit="1" customWidth="1"/>
    <col min="12579" max="12579" width="9.140625" style="763"/>
    <col min="12580" max="12586" width="9.28515625" style="763" bestFit="1" customWidth="1"/>
    <col min="12587" max="12800" width="9.140625" style="763"/>
    <col min="12801" max="12803" width="9.28515625" style="763" bestFit="1" customWidth="1"/>
    <col min="12804" max="12804" width="12.5703125" style="763" customWidth="1"/>
    <col min="12805" max="12805" width="15.5703125" style="763" customWidth="1"/>
    <col min="12806" max="12806" width="13.5703125" style="763" customWidth="1"/>
    <col min="12807" max="12807" width="14.85546875" style="763" customWidth="1"/>
    <col min="12808" max="12808" width="12.140625" style="763" customWidth="1"/>
    <col min="12809" max="12809" width="9.28515625" style="763" bestFit="1" customWidth="1"/>
    <col min="12810" max="12810" width="9.140625" style="763" customWidth="1"/>
    <col min="12811" max="12811" width="15" style="763" customWidth="1"/>
    <col min="12812" max="12812" width="11.28515625" style="763" customWidth="1"/>
    <col min="12813" max="12813" width="9.140625" style="763" customWidth="1"/>
    <col min="12814" max="12819" width="9.28515625" style="763" bestFit="1" customWidth="1"/>
    <col min="12820" max="12820" width="9.140625" style="763"/>
    <col min="12821" max="12822" width="9.28515625" style="763" bestFit="1" customWidth="1"/>
    <col min="12823" max="12823" width="9.140625" style="763"/>
    <col min="12824" max="12824" width="9.28515625" style="763" bestFit="1" customWidth="1"/>
    <col min="12825" max="12825" width="9.140625" style="763"/>
    <col min="12826" max="12826" width="9.28515625" style="763" bestFit="1" customWidth="1"/>
    <col min="12827" max="12827" width="9.140625" style="763"/>
    <col min="12828" max="12829" width="9.28515625" style="763" bestFit="1" customWidth="1"/>
    <col min="12830" max="12831" width="9.140625" style="763"/>
    <col min="12832" max="12834" width="9.28515625" style="763" bestFit="1" customWidth="1"/>
    <col min="12835" max="12835" width="9.140625" style="763"/>
    <col min="12836" max="12842" width="9.28515625" style="763" bestFit="1" customWidth="1"/>
    <col min="12843" max="13056" width="9.140625" style="763"/>
    <col min="13057" max="13059" width="9.28515625" style="763" bestFit="1" customWidth="1"/>
    <col min="13060" max="13060" width="12.5703125" style="763" customWidth="1"/>
    <col min="13061" max="13061" width="15.5703125" style="763" customWidth="1"/>
    <col min="13062" max="13062" width="13.5703125" style="763" customWidth="1"/>
    <col min="13063" max="13063" width="14.85546875" style="763" customWidth="1"/>
    <col min="13064" max="13064" width="12.140625" style="763" customWidth="1"/>
    <col min="13065" max="13065" width="9.28515625" style="763" bestFit="1" customWidth="1"/>
    <col min="13066" max="13066" width="9.140625" style="763" customWidth="1"/>
    <col min="13067" max="13067" width="15" style="763" customWidth="1"/>
    <col min="13068" max="13068" width="11.28515625" style="763" customWidth="1"/>
    <col min="13069" max="13069" width="9.140625" style="763" customWidth="1"/>
    <col min="13070" max="13075" width="9.28515625" style="763" bestFit="1" customWidth="1"/>
    <col min="13076" max="13076" width="9.140625" style="763"/>
    <col min="13077" max="13078" width="9.28515625" style="763" bestFit="1" customWidth="1"/>
    <col min="13079" max="13079" width="9.140625" style="763"/>
    <col min="13080" max="13080" width="9.28515625" style="763" bestFit="1" customWidth="1"/>
    <col min="13081" max="13081" width="9.140625" style="763"/>
    <col min="13082" max="13082" width="9.28515625" style="763" bestFit="1" customWidth="1"/>
    <col min="13083" max="13083" width="9.140625" style="763"/>
    <col min="13084" max="13085" width="9.28515625" style="763" bestFit="1" customWidth="1"/>
    <col min="13086" max="13087" width="9.140625" style="763"/>
    <col min="13088" max="13090" width="9.28515625" style="763" bestFit="1" customWidth="1"/>
    <col min="13091" max="13091" width="9.140625" style="763"/>
    <col min="13092" max="13098" width="9.28515625" style="763" bestFit="1" customWidth="1"/>
    <col min="13099" max="13312" width="9.140625" style="763"/>
    <col min="13313" max="13315" width="9.28515625" style="763" bestFit="1" customWidth="1"/>
    <col min="13316" max="13316" width="12.5703125" style="763" customWidth="1"/>
    <col min="13317" max="13317" width="15.5703125" style="763" customWidth="1"/>
    <col min="13318" max="13318" width="13.5703125" style="763" customWidth="1"/>
    <col min="13319" max="13319" width="14.85546875" style="763" customWidth="1"/>
    <col min="13320" max="13320" width="12.140625" style="763" customWidth="1"/>
    <col min="13321" max="13321" width="9.28515625" style="763" bestFit="1" customWidth="1"/>
    <col min="13322" max="13322" width="9.140625" style="763" customWidth="1"/>
    <col min="13323" max="13323" width="15" style="763" customWidth="1"/>
    <col min="13324" max="13324" width="11.28515625" style="763" customWidth="1"/>
    <col min="13325" max="13325" width="9.140625" style="763" customWidth="1"/>
    <col min="13326" max="13331" width="9.28515625" style="763" bestFit="1" customWidth="1"/>
    <col min="13332" max="13332" width="9.140625" style="763"/>
    <col min="13333" max="13334" width="9.28515625" style="763" bestFit="1" customWidth="1"/>
    <col min="13335" max="13335" width="9.140625" style="763"/>
    <col min="13336" max="13336" width="9.28515625" style="763" bestFit="1" customWidth="1"/>
    <col min="13337" max="13337" width="9.140625" style="763"/>
    <col min="13338" max="13338" width="9.28515625" style="763" bestFit="1" customWidth="1"/>
    <col min="13339" max="13339" width="9.140625" style="763"/>
    <col min="13340" max="13341" width="9.28515625" style="763" bestFit="1" customWidth="1"/>
    <col min="13342" max="13343" width="9.140625" style="763"/>
    <col min="13344" max="13346" width="9.28515625" style="763" bestFit="1" customWidth="1"/>
    <col min="13347" max="13347" width="9.140625" style="763"/>
    <col min="13348" max="13354" width="9.28515625" style="763" bestFit="1" customWidth="1"/>
    <col min="13355" max="13568" width="9.140625" style="763"/>
    <col min="13569" max="13571" width="9.28515625" style="763" bestFit="1" customWidth="1"/>
    <col min="13572" max="13572" width="12.5703125" style="763" customWidth="1"/>
    <col min="13573" max="13573" width="15.5703125" style="763" customWidth="1"/>
    <col min="13574" max="13574" width="13.5703125" style="763" customWidth="1"/>
    <col min="13575" max="13575" width="14.85546875" style="763" customWidth="1"/>
    <col min="13576" max="13576" width="12.140625" style="763" customWidth="1"/>
    <col min="13577" max="13577" width="9.28515625" style="763" bestFit="1" customWidth="1"/>
    <col min="13578" max="13578" width="9.140625" style="763" customWidth="1"/>
    <col min="13579" max="13579" width="15" style="763" customWidth="1"/>
    <col min="13580" max="13580" width="11.28515625" style="763" customWidth="1"/>
    <col min="13581" max="13581" width="9.140625" style="763" customWidth="1"/>
    <col min="13582" max="13587" width="9.28515625" style="763" bestFit="1" customWidth="1"/>
    <col min="13588" max="13588" width="9.140625" style="763"/>
    <col min="13589" max="13590" width="9.28515625" style="763" bestFit="1" customWidth="1"/>
    <col min="13591" max="13591" width="9.140625" style="763"/>
    <col min="13592" max="13592" width="9.28515625" style="763" bestFit="1" customWidth="1"/>
    <col min="13593" max="13593" width="9.140625" style="763"/>
    <col min="13594" max="13594" width="9.28515625" style="763" bestFit="1" customWidth="1"/>
    <col min="13595" max="13595" width="9.140625" style="763"/>
    <col min="13596" max="13597" width="9.28515625" style="763" bestFit="1" customWidth="1"/>
    <col min="13598" max="13599" width="9.140625" style="763"/>
    <col min="13600" max="13602" width="9.28515625" style="763" bestFit="1" customWidth="1"/>
    <col min="13603" max="13603" width="9.140625" style="763"/>
    <col min="13604" max="13610" width="9.28515625" style="763" bestFit="1" customWidth="1"/>
    <col min="13611" max="13824" width="9.140625" style="763"/>
    <col min="13825" max="13827" width="9.28515625" style="763" bestFit="1" customWidth="1"/>
    <col min="13828" max="13828" width="12.5703125" style="763" customWidth="1"/>
    <col min="13829" max="13829" width="15.5703125" style="763" customWidth="1"/>
    <col min="13830" max="13830" width="13.5703125" style="763" customWidth="1"/>
    <col min="13831" max="13831" width="14.85546875" style="763" customWidth="1"/>
    <col min="13832" max="13832" width="12.140625" style="763" customWidth="1"/>
    <col min="13833" max="13833" width="9.28515625" style="763" bestFit="1" customWidth="1"/>
    <col min="13834" max="13834" width="9.140625" style="763" customWidth="1"/>
    <col min="13835" max="13835" width="15" style="763" customWidth="1"/>
    <col min="13836" max="13836" width="11.28515625" style="763" customWidth="1"/>
    <col min="13837" max="13837" width="9.140625" style="763" customWidth="1"/>
    <col min="13838" max="13843" width="9.28515625" style="763" bestFit="1" customWidth="1"/>
    <col min="13844" max="13844" width="9.140625" style="763"/>
    <col min="13845" max="13846" width="9.28515625" style="763" bestFit="1" customWidth="1"/>
    <col min="13847" max="13847" width="9.140625" style="763"/>
    <col min="13848" max="13848" width="9.28515625" style="763" bestFit="1" customWidth="1"/>
    <col min="13849" max="13849" width="9.140625" style="763"/>
    <col min="13850" max="13850" width="9.28515625" style="763" bestFit="1" customWidth="1"/>
    <col min="13851" max="13851" width="9.140625" style="763"/>
    <col min="13852" max="13853" width="9.28515625" style="763" bestFit="1" customWidth="1"/>
    <col min="13854" max="13855" width="9.140625" style="763"/>
    <col min="13856" max="13858" width="9.28515625" style="763" bestFit="1" customWidth="1"/>
    <col min="13859" max="13859" width="9.140625" style="763"/>
    <col min="13860" max="13866" width="9.28515625" style="763" bestFit="1" customWidth="1"/>
    <col min="13867" max="14080" width="9.140625" style="763"/>
    <col min="14081" max="14083" width="9.28515625" style="763" bestFit="1" customWidth="1"/>
    <col min="14084" max="14084" width="12.5703125" style="763" customWidth="1"/>
    <col min="14085" max="14085" width="15.5703125" style="763" customWidth="1"/>
    <col min="14086" max="14086" width="13.5703125" style="763" customWidth="1"/>
    <col min="14087" max="14087" width="14.85546875" style="763" customWidth="1"/>
    <col min="14088" max="14088" width="12.140625" style="763" customWidth="1"/>
    <col min="14089" max="14089" width="9.28515625" style="763" bestFit="1" customWidth="1"/>
    <col min="14090" max="14090" width="9.140625" style="763" customWidth="1"/>
    <col min="14091" max="14091" width="15" style="763" customWidth="1"/>
    <col min="14092" max="14092" width="11.28515625" style="763" customWidth="1"/>
    <col min="14093" max="14093" width="9.140625" style="763" customWidth="1"/>
    <col min="14094" max="14099" width="9.28515625" style="763" bestFit="1" customWidth="1"/>
    <col min="14100" max="14100" width="9.140625" style="763"/>
    <col min="14101" max="14102" width="9.28515625" style="763" bestFit="1" customWidth="1"/>
    <col min="14103" max="14103" width="9.140625" style="763"/>
    <col min="14104" max="14104" width="9.28515625" style="763" bestFit="1" customWidth="1"/>
    <col min="14105" max="14105" width="9.140625" style="763"/>
    <col min="14106" max="14106" width="9.28515625" style="763" bestFit="1" customWidth="1"/>
    <col min="14107" max="14107" width="9.140625" style="763"/>
    <col min="14108" max="14109" width="9.28515625" style="763" bestFit="1" customWidth="1"/>
    <col min="14110" max="14111" width="9.140625" style="763"/>
    <col min="14112" max="14114" width="9.28515625" style="763" bestFit="1" customWidth="1"/>
    <col min="14115" max="14115" width="9.140625" style="763"/>
    <col min="14116" max="14122" width="9.28515625" style="763" bestFit="1" customWidth="1"/>
    <col min="14123" max="14336" width="9.140625" style="763"/>
    <col min="14337" max="14339" width="9.28515625" style="763" bestFit="1" customWidth="1"/>
    <col min="14340" max="14340" width="12.5703125" style="763" customWidth="1"/>
    <col min="14341" max="14341" width="15.5703125" style="763" customWidth="1"/>
    <col min="14342" max="14342" width="13.5703125" style="763" customWidth="1"/>
    <col min="14343" max="14343" width="14.85546875" style="763" customWidth="1"/>
    <col min="14344" max="14344" width="12.140625" style="763" customWidth="1"/>
    <col min="14345" max="14345" width="9.28515625" style="763" bestFit="1" customWidth="1"/>
    <col min="14346" max="14346" width="9.140625" style="763" customWidth="1"/>
    <col min="14347" max="14347" width="15" style="763" customWidth="1"/>
    <col min="14348" max="14348" width="11.28515625" style="763" customWidth="1"/>
    <col min="14349" max="14349" width="9.140625" style="763" customWidth="1"/>
    <col min="14350" max="14355" width="9.28515625" style="763" bestFit="1" customWidth="1"/>
    <col min="14356" max="14356" width="9.140625" style="763"/>
    <col min="14357" max="14358" width="9.28515625" style="763" bestFit="1" customWidth="1"/>
    <col min="14359" max="14359" width="9.140625" style="763"/>
    <col min="14360" max="14360" width="9.28515625" style="763" bestFit="1" customWidth="1"/>
    <col min="14361" max="14361" width="9.140625" style="763"/>
    <col min="14362" max="14362" width="9.28515625" style="763" bestFit="1" customWidth="1"/>
    <col min="14363" max="14363" width="9.140625" style="763"/>
    <col min="14364" max="14365" width="9.28515625" style="763" bestFit="1" customWidth="1"/>
    <col min="14366" max="14367" width="9.140625" style="763"/>
    <col min="14368" max="14370" width="9.28515625" style="763" bestFit="1" customWidth="1"/>
    <col min="14371" max="14371" width="9.140625" style="763"/>
    <col min="14372" max="14378" width="9.28515625" style="763" bestFit="1" customWidth="1"/>
    <col min="14379" max="14592" width="9.140625" style="763"/>
    <col min="14593" max="14595" width="9.28515625" style="763" bestFit="1" customWidth="1"/>
    <col min="14596" max="14596" width="12.5703125" style="763" customWidth="1"/>
    <col min="14597" max="14597" width="15.5703125" style="763" customWidth="1"/>
    <col min="14598" max="14598" width="13.5703125" style="763" customWidth="1"/>
    <col min="14599" max="14599" width="14.85546875" style="763" customWidth="1"/>
    <col min="14600" max="14600" width="12.140625" style="763" customWidth="1"/>
    <col min="14601" max="14601" width="9.28515625" style="763" bestFit="1" customWidth="1"/>
    <col min="14602" max="14602" width="9.140625" style="763" customWidth="1"/>
    <col min="14603" max="14603" width="15" style="763" customWidth="1"/>
    <col min="14604" max="14604" width="11.28515625" style="763" customWidth="1"/>
    <col min="14605" max="14605" width="9.140625" style="763" customWidth="1"/>
    <col min="14606" max="14611" width="9.28515625" style="763" bestFit="1" customWidth="1"/>
    <col min="14612" max="14612" width="9.140625" style="763"/>
    <col min="14613" max="14614" width="9.28515625" style="763" bestFit="1" customWidth="1"/>
    <col min="14615" max="14615" width="9.140625" style="763"/>
    <col min="14616" max="14616" width="9.28515625" style="763" bestFit="1" customWidth="1"/>
    <col min="14617" max="14617" width="9.140625" style="763"/>
    <col min="14618" max="14618" width="9.28515625" style="763" bestFit="1" customWidth="1"/>
    <col min="14619" max="14619" width="9.140625" style="763"/>
    <col min="14620" max="14621" width="9.28515625" style="763" bestFit="1" customWidth="1"/>
    <col min="14622" max="14623" width="9.140625" style="763"/>
    <col min="14624" max="14626" width="9.28515625" style="763" bestFit="1" customWidth="1"/>
    <col min="14627" max="14627" width="9.140625" style="763"/>
    <col min="14628" max="14634" width="9.28515625" style="763" bestFit="1" customWidth="1"/>
    <col min="14635" max="14848" width="9.140625" style="763"/>
    <col min="14849" max="14851" width="9.28515625" style="763" bestFit="1" customWidth="1"/>
    <col min="14852" max="14852" width="12.5703125" style="763" customWidth="1"/>
    <col min="14853" max="14853" width="15.5703125" style="763" customWidth="1"/>
    <col min="14854" max="14854" width="13.5703125" style="763" customWidth="1"/>
    <col min="14855" max="14855" width="14.85546875" style="763" customWidth="1"/>
    <col min="14856" max="14856" width="12.140625" style="763" customWidth="1"/>
    <col min="14857" max="14857" width="9.28515625" style="763" bestFit="1" customWidth="1"/>
    <col min="14858" max="14858" width="9.140625" style="763" customWidth="1"/>
    <col min="14859" max="14859" width="15" style="763" customWidth="1"/>
    <col min="14860" max="14860" width="11.28515625" style="763" customWidth="1"/>
    <col min="14861" max="14861" width="9.140625" style="763" customWidth="1"/>
    <col min="14862" max="14867" width="9.28515625" style="763" bestFit="1" customWidth="1"/>
    <col min="14868" max="14868" width="9.140625" style="763"/>
    <col min="14869" max="14870" width="9.28515625" style="763" bestFit="1" customWidth="1"/>
    <col min="14871" max="14871" width="9.140625" style="763"/>
    <col min="14872" max="14872" width="9.28515625" style="763" bestFit="1" customWidth="1"/>
    <col min="14873" max="14873" width="9.140625" style="763"/>
    <col min="14874" max="14874" width="9.28515625" style="763" bestFit="1" customWidth="1"/>
    <col min="14875" max="14875" width="9.140625" style="763"/>
    <col min="14876" max="14877" width="9.28515625" style="763" bestFit="1" customWidth="1"/>
    <col min="14878" max="14879" width="9.140625" style="763"/>
    <col min="14880" max="14882" width="9.28515625" style="763" bestFit="1" customWidth="1"/>
    <col min="14883" max="14883" width="9.140625" style="763"/>
    <col min="14884" max="14890" width="9.28515625" style="763" bestFit="1" customWidth="1"/>
    <col min="14891" max="15104" width="9.140625" style="763"/>
    <col min="15105" max="15107" width="9.28515625" style="763" bestFit="1" customWidth="1"/>
    <col min="15108" max="15108" width="12.5703125" style="763" customWidth="1"/>
    <col min="15109" max="15109" width="15.5703125" style="763" customWidth="1"/>
    <col min="15110" max="15110" width="13.5703125" style="763" customWidth="1"/>
    <col min="15111" max="15111" width="14.85546875" style="763" customWidth="1"/>
    <col min="15112" max="15112" width="12.140625" style="763" customWidth="1"/>
    <col min="15113" max="15113" width="9.28515625" style="763" bestFit="1" customWidth="1"/>
    <col min="15114" max="15114" width="9.140625" style="763" customWidth="1"/>
    <col min="15115" max="15115" width="15" style="763" customWidth="1"/>
    <col min="15116" max="15116" width="11.28515625" style="763" customWidth="1"/>
    <col min="15117" max="15117" width="9.140625" style="763" customWidth="1"/>
    <col min="15118" max="15123" width="9.28515625" style="763" bestFit="1" customWidth="1"/>
    <col min="15124" max="15124" width="9.140625" style="763"/>
    <col min="15125" max="15126" width="9.28515625" style="763" bestFit="1" customWidth="1"/>
    <col min="15127" max="15127" width="9.140625" style="763"/>
    <col min="15128" max="15128" width="9.28515625" style="763" bestFit="1" customWidth="1"/>
    <col min="15129" max="15129" width="9.140625" style="763"/>
    <col min="15130" max="15130" width="9.28515625" style="763" bestFit="1" customWidth="1"/>
    <col min="15131" max="15131" width="9.140625" style="763"/>
    <col min="15132" max="15133" width="9.28515625" style="763" bestFit="1" customWidth="1"/>
    <col min="15134" max="15135" width="9.140625" style="763"/>
    <col min="15136" max="15138" width="9.28515625" style="763" bestFit="1" customWidth="1"/>
    <col min="15139" max="15139" width="9.140625" style="763"/>
    <col min="15140" max="15146" width="9.28515625" style="763" bestFit="1" customWidth="1"/>
    <col min="15147" max="15360" width="9.140625" style="763"/>
    <col min="15361" max="15363" width="9.28515625" style="763" bestFit="1" customWidth="1"/>
    <col min="15364" max="15364" width="12.5703125" style="763" customWidth="1"/>
    <col min="15365" max="15365" width="15.5703125" style="763" customWidth="1"/>
    <col min="15366" max="15366" width="13.5703125" style="763" customWidth="1"/>
    <col min="15367" max="15367" width="14.85546875" style="763" customWidth="1"/>
    <col min="15368" max="15368" width="12.140625" style="763" customWidth="1"/>
    <col min="15369" max="15369" width="9.28515625" style="763" bestFit="1" customWidth="1"/>
    <col min="15370" max="15370" width="9.140625" style="763" customWidth="1"/>
    <col min="15371" max="15371" width="15" style="763" customWidth="1"/>
    <col min="15372" max="15372" width="11.28515625" style="763" customWidth="1"/>
    <col min="15373" max="15373" width="9.140625" style="763" customWidth="1"/>
    <col min="15374" max="15379" width="9.28515625" style="763" bestFit="1" customWidth="1"/>
    <col min="15380" max="15380" width="9.140625" style="763"/>
    <col min="15381" max="15382" width="9.28515625" style="763" bestFit="1" customWidth="1"/>
    <col min="15383" max="15383" width="9.140625" style="763"/>
    <col min="15384" max="15384" width="9.28515625" style="763" bestFit="1" customWidth="1"/>
    <col min="15385" max="15385" width="9.140625" style="763"/>
    <col min="15386" max="15386" width="9.28515625" style="763" bestFit="1" customWidth="1"/>
    <col min="15387" max="15387" width="9.140625" style="763"/>
    <col min="15388" max="15389" width="9.28515625" style="763" bestFit="1" customWidth="1"/>
    <col min="15390" max="15391" width="9.140625" style="763"/>
    <col min="15392" max="15394" width="9.28515625" style="763" bestFit="1" customWidth="1"/>
    <col min="15395" max="15395" width="9.140625" style="763"/>
    <col min="15396" max="15402" width="9.28515625" style="763" bestFit="1" customWidth="1"/>
    <col min="15403" max="15616" width="9.140625" style="763"/>
    <col min="15617" max="15619" width="9.28515625" style="763" bestFit="1" customWidth="1"/>
    <col min="15620" max="15620" width="12.5703125" style="763" customWidth="1"/>
    <col min="15621" max="15621" width="15.5703125" style="763" customWidth="1"/>
    <col min="15622" max="15622" width="13.5703125" style="763" customWidth="1"/>
    <col min="15623" max="15623" width="14.85546875" style="763" customWidth="1"/>
    <col min="15624" max="15624" width="12.140625" style="763" customWidth="1"/>
    <col min="15625" max="15625" width="9.28515625" style="763" bestFit="1" customWidth="1"/>
    <col min="15626" max="15626" width="9.140625" style="763" customWidth="1"/>
    <col min="15627" max="15627" width="15" style="763" customWidth="1"/>
    <col min="15628" max="15628" width="11.28515625" style="763" customWidth="1"/>
    <col min="15629" max="15629" width="9.140625" style="763" customWidth="1"/>
    <col min="15630" max="15635" width="9.28515625" style="763" bestFit="1" customWidth="1"/>
    <col min="15636" max="15636" width="9.140625" style="763"/>
    <col min="15637" max="15638" width="9.28515625" style="763" bestFit="1" customWidth="1"/>
    <col min="15639" max="15639" width="9.140625" style="763"/>
    <col min="15640" max="15640" width="9.28515625" style="763" bestFit="1" customWidth="1"/>
    <col min="15641" max="15641" width="9.140625" style="763"/>
    <col min="15642" max="15642" width="9.28515625" style="763" bestFit="1" customWidth="1"/>
    <col min="15643" max="15643" width="9.140625" style="763"/>
    <col min="15644" max="15645" width="9.28515625" style="763" bestFit="1" customWidth="1"/>
    <col min="15646" max="15647" width="9.140625" style="763"/>
    <col min="15648" max="15650" width="9.28515625" style="763" bestFit="1" customWidth="1"/>
    <col min="15651" max="15651" width="9.140625" style="763"/>
    <col min="15652" max="15658" width="9.28515625" style="763" bestFit="1" customWidth="1"/>
    <col min="15659" max="15872" width="9.140625" style="763"/>
    <col min="15873" max="15875" width="9.28515625" style="763" bestFit="1" customWidth="1"/>
    <col min="15876" max="15876" width="12.5703125" style="763" customWidth="1"/>
    <col min="15877" max="15877" width="15.5703125" style="763" customWidth="1"/>
    <col min="15878" max="15878" width="13.5703125" style="763" customWidth="1"/>
    <col min="15879" max="15879" width="14.85546875" style="763" customWidth="1"/>
    <col min="15880" max="15880" width="12.140625" style="763" customWidth="1"/>
    <col min="15881" max="15881" width="9.28515625" style="763" bestFit="1" customWidth="1"/>
    <col min="15882" max="15882" width="9.140625" style="763" customWidth="1"/>
    <col min="15883" max="15883" width="15" style="763" customWidth="1"/>
    <col min="15884" max="15884" width="11.28515625" style="763" customWidth="1"/>
    <col min="15885" max="15885" width="9.140625" style="763" customWidth="1"/>
    <col min="15886" max="15891" width="9.28515625" style="763" bestFit="1" customWidth="1"/>
    <col min="15892" max="15892" width="9.140625" style="763"/>
    <col min="15893" max="15894" width="9.28515625" style="763" bestFit="1" customWidth="1"/>
    <col min="15895" max="15895" width="9.140625" style="763"/>
    <col min="15896" max="15896" width="9.28515625" style="763" bestFit="1" customWidth="1"/>
    <col min="15897" max="15897" width="9.140625" style="763"/>
    <col min="15898" max="15898" width="9.28515625" style="763" bestFit="1" customWidth="1"/>
    <col min="15899" max="15899" width="9.140625" style="763"/>
    <col min="15900" max="15901" width="9.28515625" style="763" bestFit="1" customWidth="1"/>
    <col min="15902" max="15903" width="9.140625" style="763"/>
    <col min="15904" max="15906" width="9.28515625" style="763" bestFit="1" customWidth="1"/>
    <col min="15907" max="15907" width="9.140625" style="763"/>
    <col min="15908" max="15914" width="9.28515625" style="763" bestFit="1" customWidth="1"/>
    <col min="15915" max="16128" width="9.140625" style="763"/>
    <col min="16129" max="16131" width="9.28515625" style="763" bestFit="1" customWidth="1"/>
    <col min="16132" max="16132" width="12.5703125" style="763" customWidth="1"/>
    <col min="16133" max="16133" width="15.5703125" style="763" customWidth="1"/>
    <col min="16134" max="16134" width="13.5703125" style="763" customWidth="1"/>
    <col min="16135" max="16135" width="14.85546875" style="763" customWidth="1"/>
    <col min="16136" max="16136" width="12.140625" style="763" customWidth="1"/>
    <col min="16137" max="16137" width="9.28515625" style="763" bestFit="1" customWidth="1"/>
    <col min="16138" max="16138" width="9.140625" style="763" customWidth="1"/>
    <col min="16139" max="16139" width="15" style="763" customWidth="1"/>
    <col min="16140" max="16140" width="11.28515625" style="763" customWidth="1"/>
    <col min="16141" max="16141" width="9.140625" style="763" customWidth="1"/>
    <col min="16142" max="16147" width="9.28515625" style="763" bestFit="1" customWidth="1"/>
    <col min="16148" max="16148" width="9.140625" style="763"/>
    <col min="16149" max="16150" width="9.28515625" style="763" bestFit="1" customWidth="1"/>
    <col min="16151" max="16151" width="9.140625" style="763"/>
    <col min="16152" max="16152" width="9.28515625" style="763" bestFit="1" customWidth="1"/>
    <col min="16153" max="16153" width="9.140625" style="763"/>
    <col min="16154" max="16154" width="9.28515625" style="763" bestFit="1" customWidth="1"/>
    <col min="16155" max="16155" width="9.140625" style="763"/>
    <col min="16156" max="16157" width="9.28515625" style="763" bestFit="1" customWidth="1"/>
    <col min="16158" max="16159" width="9.140625" style="763"/>
    <col min="16160" max="16162" width="9.28515625" style="763" bestFit="1" customWidth="1"/>
    <col min="16163" max="16163" width="9.140625" style="763"/>
    <col min="16164" max="16170" width="9.28515625" style="763" bestFit="1" customWidth="1"/>
    <col min="16171" max="16384" width="9.140625" style="763"/>
  </cols>
  <sheetData>
    <row r="1" spans="2:14" ht="13.5" thickBot="1"/>
    <row r="2" spans="2:14">
      <c r="B2" s="1074" t="s">
        <v>508</v>
      </c>
      <c r="C2" s="1075"/>
      <c r="D2" s="1075"/>
      <c r="E2" s="1076"/>
      <c r="F2" s="1076"/>
      <c r="G2" s="1076"/>
      <c r="H2" s="1076"/>
      <c r="I2" s="1077"/>
      <c r="K2" s="763" t="s">
        <v>578</v>
      </c>
      <c r="M2" s="763" t="s">
        <v>579</v>
      </c>
    </row>
    <row r="3" spans="2:14">
      <c r="B3" s="1078"/>
      <c r="C3" s="1079"/>
      <c r="D3" s="1079"/>
      <c r="E3" s="1079"/>
      <c r="F3" s="1079"/>
      <c r="G3" s="1079"/>
      <c r="H3" s="1079"/>
      <c r="I3" s="1080"/>
    </row>
    <row r="4" spans="2:14" ht="25.5">
      <c r="B4" s="1081" t="s">
        <v>496</v>
      </c>
      <c r="C4" s="1082" t="s">
        <v>209</v>
      </c>
      <c r="D4" s="1082" t="s">
        <v>497</v>
      </c>
      <c r="E4" s="1082" t="s">
        <v>511</v>
      </c>
      <c r="F4" s="1082" t="s">
        <v>509</v>
      </c>
      <c r="G4" s="1082" t="s">
        <v>22</v>
      </c>
      <c r="H4" s="1082" t="s">
        <v>510</v>
      </c>
      <c r="I4" s="1083" t="s">
        <v>503</v>
      </c>
      <c r="J4" s="1081" t="s">
        <v>496</v>
      </c>
      <c r="K4" s="1082" t="s">
        <v>511</v>
      </c>
      <c r="L4" s="1082" t="s">
        <v>509</v>
      </c>
      <c r="M4" s="1082" t="s">
        <v>511</v>
      </c>
      <c r="N4" s="1082" t="s">
        <v>509</v>
      </c>
    </row>
    <row r="5" spans="2:14" ht="15">
      <c r="B5" s="2009">
        <v>2008</v>
      </c>
      <c r="C5" s="2010">
        <v>1</v>
      </c>
      <c r="D5" s="1079">
        <v>1</v>
      </c>
      <c r="E5" s="276">
        <f>'1. World bank loan'!G5</f>
        <v>0</v>
      </c>
      <c r="F5" s="276">
        <f>'2. KfW Loan Schedule'!G5</f>
        <v>-3447797.92</v>
      </c>
      <c r="G5" s="276">
        <f>E5+F5</f>
        <v>-3447797.92</v>
      </c>
      <c r="H5" s="2011">
        <f>-(G5+G6)</f>
        <v>10343393.76</v>
      </c>
      <c r="I5" s="277"/>
      <c r="J5" s="2009">
        <v>2008</v>
      </c>
      <c r="K5" s="2011">
        <f>-(E5+E6)</f>
        <v>0</v>
      </c>
      <c r="L5" s="2011">
        <f>-(F5+F6)</f>
        <v>10343393.76</v>
      </c>
    </row>
    <row r="6" spans="2:14" ht="15">
      <c r="B6" s="2009"/>
      <c r="C6" s="2010"/>
      <c r="D6" s="1079">
        <f t="shared" ref="D6:D69" si="0">D5+1</f>
        <v>2</v>
      </c>
      <c r="E6" s="276">
        <f>'1. World bank loan'!G6</f>
        <v>0</v>
      </c>
      <c r="F6" s="276">
        <f>'2. KfW Loan Schedule'!G6</f>
        <v>-6895595.8399999999</v>
      </c>
      <c r="G6" s="276">
        <f t="shared" ref="G6:G69" si="1">E6+F6</f>
        <v>-6895595.8399999999</v>
      </c>
      <c r="H6" s="2011"/>
      <c r="I6" s="1080"/>
      <c r="J6" s="2009"/>
      <c r="K6" s="2011"/>
      <c r="L6" s="2011"/>
    </row>
    <row r="7" spans="2:14" ht="15">
      <c r="B7" s="2009">
        <f>B5+1</f>
        <v>2009</v>
      </c>
      <c r="C7" s="2010">
        <v>2</v>
      </c>
      <c r="D7" s="1079">
        <f t="shared" si="0"/>
        <v>3</v>
      </c>
      <c r="E7" s="276">
        <f>'1. World bank loan'!G7</f>
        <v>0</v>
      </c>
      <c r="F7" s="276">
        <f>'2. KfW Loan Schedule'!G7</f>
        <v>-9593746.1400000006</v>
      </c>
      <c r="G7" s="276">
        <f t="shared" si="1"/>
        <v>-9593746.1400000006</v>
      </c>
      <c r="H7" s="2011">
        <f>-(G7+G8)</f>
        <v>21885642.579999998</v>
      </c>
      <c r="I7" s="1080"/>
      <c r="J7" s="2009">
        <f>J5+1</f>
        <v>2009</v>
      </c>
      <c r="K7" s="2011">
        <f>-(E7+E8)</f>
        <v>0</v>
      </c>
      <c r="L7" s="2011">
        <f>-(F7+F8)</f>
        <v>21885642.579999998</v>
      </c>
    </row>
    <row r="8" spans="2:14" ht="15">
      <c r="B8" s="2009"/>
      <c r="C8" s="2010"/>
      <c r="D8" s="1079">
        <f t="shared" si="0"/>
        <v>4</v>
      </c>
      <c r="E8" s="276">
        <f>'1. World bank loan'!G8</f>
        <v>0</v>
      </c>
      <c r="F8" s="276">
        <f>'2. KfW Loan Schedule'!G8</f>
        <v>-12291896.439999999</v>
      </c>
      <c r="G8" s="276">
        <f t="shared" si="1"/>
        <v>-12291896.439999999</v>
      </c>
      <c r="H8" s="2011"/>
      <c r="I8" s="1080"/>
      <c r="J8" s="2009"/>
      <c r="K8" s="2011"/>
      <c r="L8" s="2011"/>
    </row>
    <row r="9" spans="2:14" ht="15">
      <c r="B9" s="2009">
        <f>B7+1</f>
        <v>2010</v>
      </c>
      <c r="C9" s="2010">
        <v>3</v>
      </c>
      <c r="D9" s="1079">
        <f t="shared" si="0"/>
        <v>5</v>
      </c>
      <c r="E9" s="276">
        <f>'1. World bank loan'!G9</f>
        <v>-1364730.1400000001</v>
      </c>
      <c r="F9" s="276">
        <f>'2. KfW Loan Schedule'!G9</f>
        <v>-15572204.26</v>
      </c>
      <c r="G9" s="276">
        <f>E9+F9</f>
        <v>-16936934.399999999</v>
      </c>
      <c r="H9" s="2011">
        <f>-(G9+G10)</f>
        <v>38518906.760000005</v>
      </c>
      <c r="I9" s="1080"/>
      <c r="J9" s="2009">
        <f>J7+1</f>
        <v>2010</v>
      </c>
      <c r="K9" s="2011">
        <f>-(E9+E10)</f>
        <v>4094190.4200000004</v>
      </c>
      <c r="L9" s="2011">
        <f>-(F9+F10)</f>
        <v>34424716.340000004</v>
      </c>
    </row>
    <row r="10" spans="2:14" ht="15">
      <c r="B10" s="2009"/>
      <c r="C10" s="2010"/>
      <c r="D10" s="1079">
        <f t="shared" si="0"/>
        <v>6</v>
      </c>
      <c r="E10" s="276">
        <f>'1. World bank loan'!G10</f>
        <v>-2729460.2800000003</v>
      </c>
      <c r="F10" s="276">
        <f>'2. KfW Loan Schedule'!G10</f>
        <v>-18852512.080000002</v>
      </c>
      <c r="G10" s="276">
        <f t="shared" si="1"/>
        <v>-21581972.360000003</v>
      </c>
      <c r="H10" s="2011"/>
      <c r="I10" s="1080"/>
      <c r="J10" s="2009"/>
      <c r="K10" s="2011"/>
      <c r="L10" s="2011"/>
    </row>
    <row r="11" spans="2:14" ht="15">
      <c r="B11" s="2009">
        <f>B9+1</f>
        <v>2011</v>
      </c>
      <c r="C11" s="2010">
        <v>4</v>
      </c>
      <c r="D11" s="1079">
        <f t="shared" si="0"/>
        <v>7</v>
      </c>
      <c r="E11" s="276">
        <f>'1. World bank loan'!G11</f>
        <v>-4776555.49</v>
      </c>
      <c r="F11" s="276">
        <f>'2. KfW Loan Schedule'!G11</f>
        <v>-20161004.330000002</v>
      </c>
      <c r="G11" s="276">
        <f t="shared" si="1"/>
        <v>-24937559.82</v>
      </c>
      <c r="H11" s="2011">
        <f>-(G11+G12)</f>
        <v>53230707.100000001</v>
      </c>
      <c r="I11" s="1080"/>
      <c r="J11" s="2009">
        <f>J9+1</f>
        <v>2011</v>
      </c>
      <c r="K11" s="2011">
        <f>-(E11+E12)</f>
        <v>11600206.190000001</v>
      </c>
      <c r="L11" s="2011">
        <f>-(F11+F12)</f>
        <v>41630500.910000004</v>
      </c>
    </row>
    <row r="12" spans="2:14" ht="15">
      <c r="B12" s="2009"/>
      <c r="C12" s="2010"/>
      <c r="D12" s="1079">
        <f t="shared" si="0"/>
        <v>8</v>
      </c>
      <c r="E12" s="276">
        <f>'1. World bank loan'!G12</f>
        <v>-6823650.7000000002</v>
      </c>
      <c r="F12" s="276">
        <f>'2. KfW Loan Schedule'!G12</f>
        <v>-21469496.580000002</v>
      </c>
      <c r="G12" s="276">
        <f t="shared" si="1"/>
        <v>-28293147.280000001</v>
      </c>
      <c r="H12" s="2011"/>
      <c r="I12" s="1080"/>
      <c r="J12" s="2009"/>
      <c r="K12" s="2011"/>
      <c r="L12" s="2011"/>
    </row>
    <row r="13" spans="2:14" ht="15">
      <c r="B13" s="2009">
        <f>B11+1</f>
        <v>2012</v>
      </c>
      <c r="C13" s="2010">
        <v>5</v>
      </c>
      <c r="D13" s="1079">
        <f t="shared" si="0"/>
        <v>9</v>
      </c>
      <c r="E13" s="276">
        <f>'1. World bank loan'!G13</f>
        <v>-8088759.6299999999</v>
      </c>
      <c r="F13" s="276">
        <f>'2. KfW Loan Schedule'!G13</f>
        <v>-22428440.150000002</v>
      </c>
      <c r="G13" s="276">
        <f t="shared" si="1"/>
        <v>-30517199.780000001</v>
      </c>
      <c r="H13" s="2011">
        <f>-(G13+G14)</f>
        <v>63258452.060000002</v>
      </c>
      <c r="I13" s="1080"/>
      <c r="J13" s="2009">
        <f>J11+1</f>
        <v>2012</v>
      </c>
      <c r="K13" s="2011">
        <f>-(E13+E14)</f>
        <v>17442628.190000001</v>
      </c>
      <c r="L13" s="2011">
        <f>-(F13+F14)</f>
        <v>45815823.870000005</v>
      </c>
    </row>
    <row r="14" spans="2:14" ht="15">
      <c r="B14" s="2009"/>
      <c r="C14" s="2010"/>
      <c r="D14" s="1079">
        <f t="shared" si="0"/>
        <v>10</v>
      </c>
      <c r="E14" s="276">
        <f>'1. World bank loan'!G14</f>
        <v>-9353868.5600000005</v>
      </c>
      <c r="F14" s="276">
        <f>'2. KfW Loan Schedule'!G14</f>
        <v>-23387383.719999999</v>
      </c>
      <c r="G14" s="276">
        <f t="shared" si="1"/>
        <v>-32741252.280000001</v>
      </c>
      <c r="H14" s="2011"/>
      <c r="I14" s="1080"/>
      <c r="J14" s="2009"/>
      <c r="K14" s="2011"/>
      <c r="L14" s="2011"/>
    </row>
    <row r="15" spans="2:14" ht="15">
      <c r="B15" s="2009">
        <f>B13+1</f>
        <v>2013</v>
      </c>
      <c r="C15" s="2010">
        <v>6</v>
      </c>
      <c r="D15" s="1079">
        <f t="shared" si="0"/>
        <v>11</v>
      </c>
      <c r="E15" s="276">
        <f>'1. World bank loan'!G15</f>
        <v>-10618977.49</v>
      </c>
      <c r="F15" s="276">
        <f>'2. KfW Loan Schedule'!G15</f>
        <v>-23387383.719999999</v>
      </c>
      <c r="G15" s="276">
        <f t="shared" si="1"/>
        <v>-34006361.210000001</v>
      </c>
      <c r="H15" s="2011">
        <f>-(G15+G16)</f>
        <v>69277831.349999994</v>
      </c>
      <c r="I15" s="1080"/>
      <c r="J15" s="2009">
        <f>J13+1</f>
        <v>2013</v>
      </c>
      <c r="K15" s="2011">
        <f>-(E15+E16)</f>
        <v>22503063.91</v>
      </c>
      <c r="L15" s="2011">
        <f>-(F15+F16)</f>
        <v>46774767.439999998</v>
      </c>
    </row>
    <row r="16" spans="2:14" ht="15">
      <c r="B16" s="2009"/>
      <c r="C16" s="2010"/>
      <c r="D16" s="1079">
        <f t="shared" si="0"/>
        <v>12</v>
      </c>
      <c r="E16" s="276">
        <f>'1. World bank loan'!G16</f>
        <v>-11884086.42</v>
      </c>
      <c r="F16" s="276">
        <f>'2. KfW Loan Schedule'!G16</f>
        <v>-23387383.719999999</v>
      </c>
      <c r="G16" s="276">
        <f t="shared" si="1"/>
        <v>-35271470.140000001</v>
      </c>
      <c r="H16" s="2011"/>
      <c r="I16" s="1080"/>
      <c r="J16" s="2009"/>
      <c r="K16" s="2011"/>
      <c r="L16" s="2011"/>
    </row>
    <row r="17" spans="2:15" ht="15">
      <c r="B17" s="2009">
        <f>B15+1</f>
        <v>2014</v>
      </c>
      <c r="C17" s="2010">
        <v>7</v>
      </c>
      <c r="D17" s="1079">
        <f t="shared" si="0"/>
        <v>13</v>
      </c>
      <c r="E17" s="276">
        <f>'1. World bank loan'!G17</f>
        <v>-13050546.060000001</v>
      </c>
      <c r="F17" s="276">
        <f>'2. KfW Loan Schedule'!G17</f>
        <v>-23387383.719999999</v>
      </c>
      <c r="G17" s="276">
        <f t="shared" si="1"/>
        <v>-36437929.780000001</v>
      </c>
      <c r="H17" s="2011">
        <f>-(G17+G18)</f>
        <v>74042319.200000003</v>
      </c>
      <c r="I17" s="1080"/>
      <c r="J17" s="2009">
        <f>J15+1</f>
        <v>2014</v>
      </c>
      <c r="K17" s="2011">
        <f>-(E17+E18)</f>
        <v>27267551.760000002</v>
      </c>
      <c r="L17" s="2011">
        <f>-(F17+F18)</f>
        <v>46774767.439999998</v>
      </c>
    </row>
    <row r="18" spans="2:15" ht="15">
      <c r="B18" s="2009"/>
      <c r="C18" s="2010"/>
      <c r="D18" s="1079">
        <f t="shared" si="0"/>
        <v>14</v>
      </c>
      <c r="E18" s="276">
        <f>'1. World bank loan'!G18</f>
        <v>-14217005.700000001</v>
      </c>
      <c r="F18" s="276">
        <f>'2. KfW Loan Schedule'!G18</f>
        <v>-23387383.719999999</v>
      </c>
      <c r="G18" s="276">
        <f t="shared" si="1"/>
        <v>-37604389.420000002</v>
      </c>
      <c r="H18" s="2011"/>
      <c r="I18" s="1080"/>
      <c r="J18" s="2009"/>
      <c r="K18" s="2011"/>
      <c r="L18" s="2011"/>
    </row>
    <row r="19" spans="2:15" ht="15">
      <c r="B19" s="2009">
        <f>B17+1</f>
        <v>2015</v>
      </c>
      <c r="C19" s="2010">
        <v>8</v>
      </c>
      <c r="D19" s="1079">
        <f t="shared" si="0"/>
        <v>15</v>
      </c>
      <c r="E19" s="276">
        <f>'1. World bank loan'!G19</f>
        <v>-15383465.34</v>
      </c>
      <c r="F19" s="276">
        <f>'2. KfW Loan Schedule'!G19</f>
        <v>-23387383.719999999</v>
      </c>
      <c r="G19" s="276">
        <f t="shared" si="1"/>
        <v>-38770849.060000002</v>
      </c>
      <c r="H19" s="2011">
        <f>-(G19+G20)</f>
        <v>78708157.760000005</v>
      </c>
      <c r="I19" s="1080"/>
      <c r="J19" s="2009">
        <f>J17+1</f>
        <v>2015</v>
      </c>
      <c r="K19" s="2011">
        <f>-(E19+E20)</f>
        <v>31933390.32</v>
      </c>
      <c r="L19" s="2011">
        <f>-(F19+F20)</f>
        <v>46774767.439999998</v>
      </c>
    </row>
    <row r="20" spans="2:15" ht="15">
      <c r="B20" s="2009"/>
      <c r="C20" s="2010"/>
      <c r="D20" s="1079">
        <f t="shared" si="0"/>
        <v>16</v>
      </c>
      <c r="E20" s="276">
        <f>'1. World bank loan'!G20</f>
        <v>-16549924.98</v>
      </c>
      <c r="F20" s="276">
        <f>'2. KfW Loan Schedule'!G20</f>
        <v>-23387383.719999999</v>
      </c>
      <c r="G20" s="276">
        <f t="shared" si="1"/>
        <v>-39937308.700000003</v>
      </c>
      <c r="H20" s="2011"/>
      <c r="I20" s="1080"/>
      <c r="J20" s="2009"/>
      <c r="K20" s="2011"/>
      <c r="L20" s="2011"/>
    </row>
    <row r="21" spans="2:15" ht="15">
      <c r="B21" s="2009">
        <f>B19+1</f>
        <v>2016</v>
      </c>
      <c r="C21" s="2010">
        <v>9</v>
      </c>
      <c r="D21" s="1079">
        <f t="shared" si="0"/>
        <v>17</v>
      </c>
      <c r="E21" s="276">
        <f>'1. World bank loan'!G21</f>
        <v>-16549924.98</v>
      </c>
      <c r="F21" s="276">
        <f>'2. KfW Loan Schedule'!G21</f>
        <v>-17904561</v>
      </c>
      <c r="G21" s="276">
        <f t="shared" si="1"/>
        <v>-34454485.980000004</v>
      </c>
      <c r="H21" s="2011">
        <f>-(G21+G22)</f>
        <v>74391794.680000007</v>
      </c>
      <c r="I21" s="1080"/>
      <c r="J21" s="2009">
        <f>J19+1</f>
        <v>2016</v>
      </c>
      <c r="K21" s="2011">
        <f>-(E21+E22)</f>
        <v>33099849.960000001</v>
      </c>
      <c r="L21" s="2011">
        <f>-(F21+F22)</f>
        <v>41291944.719999999</v>
      </c>
    </row>
    <row r="22" spans="2:15" ht="15">
      <c r="B22" s="2009"/>
      <c r="C22" s="2010"/>
      <c r="D22" s="1079">
        <f t="shared" si="0"/>
        <v>18</v>
      </c>
      <c r="E22" s="276">
        <f>'1. World bank loan'!G22</f>
        <v>-16549924.98</v>
      </c>
      <c r="F22" s="276">
        <f>'2. KfW Loan Schedule'!G22</f>
        <v>-23387383.719999999</v>
      </c>
      <c r="G22" s="276">
        <f t="shared" si="1"/>
        <v>-39937308.700000003</v>
      </c>
      <c r="H22" s="2011"/>
      <c r="I22" s="1080"/>
      <c r="J22" s="2009"/>
      <c r="K22" s="2011"/>
      <c r="L22" s="2011"/>
    </row>
    <row r="23" spans="2:15" ht="15">
      <c r="B23" s="2009">
        <f>B21+1</f>
        <v>2017</v>
      </c>
      <c r="C23" s="2010">
        <v>10</v>
      </c>
      <c r="D23" s="1079">
        <f t="shared" si="0"/>
        <v>19</v>
      </c>
      <c r="E23" s="276">
        <f>'1. World bank loan'!G23</f>
        <v>-16549924.98</v>
      </c>
      <c r="F23" s="276">
        <f>'2. KfW Loan Schedule'!G23</f>
        <v>-23387383.719999999</v>
      </c>
      <c r="G23" s="276">
        <f t="shared" si="1"/>
        <v>-39937308.700000003</v>
      </c>
      <c r="H23" s="2011">
        <f>-(G23+G24)</f>
        <v>79874617.400000006</v>
      </c>
      <c r="I23" s="1080"/>
      <c r="J23" s="2009">
        <f>J21+1</f>
        <v>2017</v>
      </c>
      <c r="K23" s="2011">
        <f>-(E23+E24)</f>
        <v>33099849.960000001</v>
      </c>
      <c r="L23" s="2011">
        <f>-(F23+F24)</f>
        <v>46774767.439999998</v>
      </c>
    </row>
    <row r="24" spans="2:15" ht="15">
      <c r="B24" s="2009"/>
      <c r="C24" s="2010"/>
      <c r="D24" s="1079">
        <f t="shared" si="0"/>
        <v>20</v>
      </c>
      <c r="E24" s="276">
        <f>'1. World bank loan'!G24</f>
        <v>-16549924.98</v>
      </c>
      <c r="F24" s="276">
        <f>'2. KfW Loan Schedule'!G24</f>
        <v>-23387383.719999999</v>
      </c>
      <c r="G24" s="276">
        <f t="shared" si="1"/>
        <v>-39937308.700000003</v>
      </c>
      <c r="H24" s="2011"/>
      <c r="I24" s="1080"/>
      <c r="J24" s="2009"/>
      <c r="K24" s="2011"/>
      <c r="L24" s="2011"/>
    </row>
    <row r="25" spans="2:15" ht="15">
      <c r="B25" s="2009">
        <f>B23+1</f>
        <v>2018</v>
      </c>
      <c r="C25" s="2010">
        <v>11</v>
      </c>
      <c r="D25" s="1079">
        <f t="shared" si="0"/>
        <v>21</v>
      </c>
      <c r="E25" s="276">
        <f>'1. World bank loan'!G25</f>
        <v>-33099849.940000001</v>
      </c>
      <c r="F25" s="276">
        <f>'2. KfW Loan Schedule'!G25</f>
        <v>-46774767.719999999</v>
      </c>
      <c r="G25" s="276">
        <f t="shared" si="1"/>
        <v>-79874617.659999996</v>
      </c>
      <c r="H25" s="2011">
        <f>-(G25+G26)</f>
        <v>159349862.2304</v>
      </c>
      <c r="I25" s="1080"/>
      <c r="J25" s="2009">
        <f>J23+1</f>
        <v>2018</v>
      </c>
      <c r="K25" s="2011">
        <f>-(E25+E26)</f>
        <v>66034200.630400002</v>
      </c>
      <c r="L25" s="2011">
        <f>-(F25+F26)</f>
        <v>93315661.599999994</v>
      </c>
      <c r="N25" s="1092">
        <f>'2. KfW Loan Schedule'!J25</f>
        <v>23387384</v>
      </c>
    </row>
    <row r="26" spans="2:15" ht="15">
      <c r="B26" s="2009"/>
      <c r="C26" s="2010"/>
      <c r="D26" s="1079">
        <f t="shared" si="0"/>
        <v>22</v>
      </c>
      <c r="E26" s="276">
        <f>'1. World bank loan'!G26</f>
        <v>-32934350.690400001</v>
      </c>
      <c r="F26" s="276">
        <f>'2. KfW Loan Schedule'!G26</f>
        <v>-46540893.879999995</v>
      </c>
      <c r="G26" s="276">
        <f t="shared" si="1"/>
        <v>-79475244.5704</v>
      </c>
      <c r="H26" s="2011"/>
      <c r="I26" s="1080"/>
      <c r="J26" s="2009"/>
      <c r="K26" s="2011"/>
      <c r="L26" s="2011"/>
      <c r="N26" s="1092">
        <f>'2. KfW Loan Schedule'!J26</f>
        <v>23387384</v>
      </c>
      <c r="O26" s="1092">
        <f>N25+N26</f>
        <v>46774768</v>
      </c>
    </row>
    <row r="27" spans="2:15" ht="15">
      <c r="B27" s="2009">
        <f>B25+1</f>
        <v>2019</v>
      </c>
      <c r="C27" s="2010">
        <v>12</v>
      </c>
      <c r="D27" s="1079">
        <f t="shared" si="0"/>
        <v>23</v>
      </c>
      <c r="E27" s="276">
        <f>'1. World bank loan'!G27</f>
        <v>-32768851.440800004</v>
      </c>
      <c r="F27" s="276">
        <f>'2. KfW Loan Schedule'!G27</f>
        <v>-46307020.039999999</v>
      </c>
      <c r="G27" s="276">
        <f t="shared" si="1"/>
        <v>-79075871.480800003</v>
      </c>
      <c r="H27" s="2011">
        <f>-(G27+G28)</f>
        <v>157752369.87200001</v>
      </c>
      <c r="I27" s="1080"/>
      <c r="J27" s="2009">
        <f>J25+1</f>
        <v>2019</v>
      </c>
      <c r="K27" s="2011">
        <f>-(E27+E28)</f>
        <v>65372203.632000007</v>
      </c>
      <c r="L27" s="2011">
        <f>-(F27+F28)</f>
        <v>92380166.24000001</v>
      </c>
      <c r="N27" s="1092">
        <f>'2. KfW Loan Schedule'!J27</f>
        <v>23387384</v>
      </c>
    </row>
    <row r="28" spans="2:15" ht="15">
      <c r="B28" s="2009"/>
      <c r="C28" s="2010"/>
      <c r="D28" s="1079">
        <f t="shared" si="0"/>
        <v>24</v>
      </c>
      <c r="E28" s="276">
        <f>'1. World bank loan'!G28</f>
        <v>-32603352.191200003</v>
      </c>
      <c r="F28" s="276">
        <f>'2. KfW Loan Schedule'!G28</f>
        <v>-46073146.200000003</v>
      </c>
      <c r="G28" s="276">
        <f t="shared" si="1"/>
        <v>-78676498.391200006</v>
      </c>
      <c r="H28" s="2011"/>
      <c r="I28" s="1080"/>
      <c r="J28" s="2009"/>
      <c r="K28" s="2011"/>
      <c r="L28" s="2011"/>
      <c r="N28" s="1092">
        <f>'2. KfW Loan Schedule'!J28</f>
        <v>23387384</v>
      </c>
      <c r="O28" s="1092">
        <f>N27+N28</f>
        <v>46774768</v>
      </c>
    </row>
    <row r="29" spans="2:15" ht="15">
      <c r="B29" s="2009">
        <f>B27+1</f>
        <v>2020</v>
      </c>
      <c r="C29" s="2010">
        <v>13</v>
      </c>
      <c r="D29" s="1079">
        <f t="shared" si="0"/>
        <v>25</v>
      </c>
      <c r="E29" s="276">
        <f>'1. World bank loan'!G29</f>
        <v>-32437852.941600002</v>
      </c>
      <c r="F29" s="276">
        <f>'2. KfW Loan Schedule'!G29</f>
        <v>-45839272.359999999</v>
      </c>
      <c r="G29" s="276">
        <f t="shared" si="1"/>
        <v>-78277125.301600009</v>
      </c>
      <c r="H29" s="2011">
        <f>-(G29+G30)</f>
        <v>156154877.51359999</v>
      </c>
      <c r="I29" s="1080"/>
      <c r="J29" s="2009">
        <f>J27+1</f>
        <v>2020</v>
      </c>
      <c r="K29" s="2011">
        <f>-(E29+E30)</f>
        <v>64710206.633600004</v>
      </c>
      <c r="L29" s="2011">
        <f>-(F29+F30)</f>
        <v>91444670.879999995</v>
      </c>
      <c r="N29" s="1092">
        <f>'2. KfW Loan Schedule'!J29</f>
        <v>23387384</v>
      </c>
    </row>
    <row r="30" spans="2:15" ht="15">
      <c r="B30" s="2009"/>
      <c r="C30" s="2010"/>
      <c r="D30" s="1079">
        <f t="shared" si="0"/>
        <v>26</v>
      </c>
      <c r="E30" s="276">
        <f>'1. World bank loan'!G30</f>
        <v>-32272353.692000002</v>
      </c>
      <c r="F30" s="276">
        <f>'2. KfW Loan Schedule'!G30</f>
        <v>-45605398.519999996</v>
      </c>
      <c r="G30" s="276">
        <f t="shared" si="1"/>
        <v>-77877752.211999997</v>
      </c>
      <c r="H30" s="2011"/>
      <c r="I30" s="1080"/>
      <c r="J30" s="2009"/>
      <c r="K30" s="2011"/>
      <c r="L30" s="2011"/>
      <c r="N30" s="1092">
        <f>'2. KfW Loan Schedule'!J30</f>
        <v>23387384</v>
      </c>
      <c r="O30" s="1092">
        <f>N29+N30</f>
        <v>46774768</v>
      </c>
    </row>
    <row r="31" spans="2:15" ht="15">
      <c r="B31" s="2009">
        <f>B29+1</f>
        <v>2021</v>
      </c>
      <c r="C31" s="2010">
        <v>14</v>
      </c>
      <c r="D31" s="1079">
        <f t="shared" si="0"/>
        <v>27</v>
      </c>
      <c r="E31" s="276">
        <f>'1. World bank loan'!G31</f>
        <v>-32106854.442400001</v>
      </c>
      <c r="F31" s="276">
        <f>'2. KfW Loan Schedule'!G31</f>
        <v>-45371524.68</v>
      </c>
      <c r="G31" s="276">
        <f t="shared" si="1"/>
        <v>-77478379.122400001</v>
      </c>
      <c r="H31" s="2011">
        <f>-(G31+G32)</f>
        <v>154557385.1552</v>
      </c>
      <c r="I31" s="1080"/>
      <c r="J31" s="2009">
        <f>J29+1</f>
        <v>2021</v>
      </c>
      <c r="K31" s="2011">
        <f>-(E31+E32)</f>
        <v>64048209.635200009</v>
      </c>
      <c r="L31" s="2011">
        <f>-(F31+F32)</f>
        <v>90509175.520000011</v>
      </c>
      <c r="N31" s="1092">
        <f>'2. KfW Loan Schedule'!J31</f>
        <v>23387384</v>
      </c>
    </row>
    <row r="32" spans="2:15" ht="15">
      <c r="B32" s="2009"/>
      <c r="C32" s="2010"/>
      <c r="D32" s="1079">
        <f t="shared" si="0"/>
        <v>28</v>
      </c>
      <c r="E32" s="276">
        <f>'1. World bank loan'!G32</f>
        <v>-31941355.192800004</v>
      </c>
      <c r="F32" s="276">
        <f>'2. KfW Loan Schedule'!G32</f>
        <v>-45137650.840000004</v>
      </c>
      <c r="G32" s="276">
        <f t="shared" si="1"/>
        <v>-77079006.032800004</v>
      </c>
      <c r="H32" s="2011"/>
      <c r="I32" s="1080"/>
      <c r="J32" s="2009"/>
      <c r="K32" s="2011"/>
      <c r="L32" s="2011"/>
      <c r="N32" s="1092">
        <f>'2. KfW Loan Schedule'!J32</f>
        <v>23387384</v>
      </c>
      <c r="O32" s="1092">
        <f>N31+N32</f>
        <v>46774768</v>
      </c>
    </row>
    <row r="33" spans="2:15" ht="15">
      <c r="B33" s="2009">
        <f>B31+1</f>
        <v>2022</v>
      </c>
      <c r="C33" s="2010">
        <v>15</v>
      </c>
      <c r="D33" s="1079">
        <f t="shared" si="0"/>
        <v>29</v>
      </c>
      <c r="E33" s="276">
        <f>'1. World bank loan'!G33</f>
        <v>-31775855.943200003</v>
      </c>
      <c r="F33" s="276">
        <f>'2. KfW Loan Schedule'!G33</f>
        <v>-44903777</v>
      </c>
      <c r="G33" s="276">
        <f t="shared" si="1"/>
        <v>-76679632.943200007</v>
      </c>
      <c r="H33" s="2011">
        <f>-(G33+G34)</f>
        <v>152959892.79680002</v>
      </c>
      <c r="I33" s="1080"/>
      <c r="J33" s="2009">
        <f>J31+1</f>
        <v>2022</v>
      </c>
      <c r="K33" s="2011">
        <f>-(E33+E34)</f>
        <v>63386212.636800006</v>
      </c>
      <c r="L33" s="2011">
        <f>-(F33+F34)</f>
        <v>89573680.159999996</v>
      </c>
      <c r="N33" s="1092">
        <f>'2. KfW Loan Schedule'!J33</f>
        <v>23387384</v>
      </c>
    </row>
    <row r="34" spans="2:15" ht="15">
      <c r="B34" s="2009"/>
      <c r="C34" s="2010"/>
      <c r="D34" s="1079">
        <f t="shared" si="0"/>
        <v>30</v>
      </c>
      <c r="E34" s="276">
        <f>'1. World bank loan'!G34</f>
        <v>-31610356.693600003</v>
      </c>
      <c r="F34" s="276">
        <f>'2. KfW Loan Schedule'!G34</f>
        <v>-44669903.159999996</v>
      </c>
      <c r="G34" s="276">
        <f t="shared" si="1"/>
        <v>-76280259.853599995</v>
      </c>
      <c r="H34" s="2011"/>
      <c r="I34" s="1080"/>
      <c r="J34" s="2009"/>
      <c r="K34" s="2011"/>
      <c r="L34" s="2011"/>
      <c r="N34" s="1092">
        <f>'2. KfW Loan Schedule'!J34</f>
        <v>23387384</v>
      </c>
      <c r="O34" s="1092">
        <f>N33+N34</f>
        <v>46774768</v>
      </c>
    </row>
    <row r="35" spans="2:15" ht="15">
      <c r="B35" s="2009">
        <f>B33+1</f>
        <v>2023</v>
      </c>
      <c r="C35" s="2010">
        <v>16</v>
      </c>
      <c r="D35" s="1079">
        <v>31</v>
      </c>
      <c r="E35" s="276">
        <f>'1. World bank loan'!G35</f>
        <v>-31444857.444000002</v>
      </c>
      <c r="F35" s="276">
        <f>'2. KfW Loan Schedule'!G35</f>
        <v>-44436029.319999993</v>
      </c>
      <c r="G35" s="276">
        <f t="shared" si="1"/>
        <v>-75880886.763999999</v>
      </c>
      <c r="H35" s="2011">
        <f>-(G35+G36)</f>
        <v>151362400.4384</v>
      </c>
      <c r="I35" s="1080"/>
      <c r="J35" s="2009">
        <f>J33+1</f>
        <v>2023</v>
      </c>
      <c r="K35" s="2011">
        <f>-(E35+E36)</f>
        <v>62724215.638400003</v>
      </c>
      <c r="L35" s="2011">
        <f>-(F35+F36)</f>
        <v>88638184.799999982</v>
      </c>
      <c r="N35" s="1092">
        <f>'2. KfW Loan Schedule'!J35</f>
        <v>23387384</v>
      </c>
    </row>
    <row r="36" spans="2:15" ht="15">
      <c r="B36" s="2009"/>
      <c r="C36" s="2010"/>
      <c r="D36" s="1079">
        <f t="shared" si="0"/>
        <v>32</v>
      </c>
      <c r="E36" s="276">
        <f>'1. World bank loan'!G36</f>
        <v>-31279358.194400001</v>
      </c>
      <c r="F36" s="276">
        <f>'2. KfW Loan Schedule'!G36</f>
        <v>-44202155.479999997</v>
      </c>
      <c r="G36" s="276">
        <f t="shared" si="1"/>
        <v>-75481513.674400002</v>
      </c>
      <c r="H36" s="2011"/>
      <c r="I36" s="1080"/>
      <c r="J36" s="2009"/>
      <c r="K36" s="2011"/>
      <c r="L36" s="2011"/>
      <c r="N36" s="1092">
        <f>'2. KfW Loan Schedule'!J36</f>
        <v>23387384</v>
      </c>
      <c r="O36" s="1092">
        <f>N35+N36</f>
        <v>46774768</v>
      </c>
    </row>
    <row r="37" spans="2:15" ht="15">
      <c r="B37" s="2009">
        <f>B35+1</f>
        <v>2024</v>
      </c>
      <c r="C37" s="2010">
        <v>17</v>
      </c>
      <c r="D37" s="1079">
        <f t="shared" si="0"/>
        <v>33</v>
      </c>
      <c r="E37" s="276">
        <f>'1. World bank loan'!G37</f>
        <v>-31113858.944800001</v>
      </c>
      <c r="F37" s="276">
        <f>'2. KfW Loan Schedule'!G37</f>
        <v>-43968281.640000001</v>
      </c>
      <c r="G37" s="276">
        <f t="shared" si="1"/>
        <v>-75082140.584800005</v>
      </c>
      <c r="H37" s="2011">
        <f>-(G37+G38)</f>
        <v>149764908.08000001</v>
      </c>
      <c r="I37" s="1080"/>
      <c r="J37" s="2009">
        <f>J35+1</f>
        <v>2024</v>
      </c>
      <c r="K37" s="2011">
        <f>-(E37+E38)</f>
        <v>62062218.640000001</v>
      </c>
      <c r="L37" s="2011">
        <f>-(F37+F38)</f>
        <v>87702689.439999998</v>
      </c>
      <c r="N37" s="1092">
        <f>'2. KfW Loan Schedule'!J37</f>
        <v>23387384</v>
      </c>
    </row>
    <row r="38" spans="2:15" ht="15">
      <c r="B38" s="2009"/>
      <c r="C38" s="2010"/>
      <c r="D38" s="1079">
        <f t="shared" si="0"/>
        <v>34</v>
      </c>
      <c r="E38" s="276">
        <f>'1. World bank loan'!G38</f>
        <v>-30948359.695200004</v>
      </c>
      <c r="F38" s="276">
        <f>'2. KfW Loan Schedule'!G38</f>
        <v>-43734407.799999997</v>
      </c>
      <c r="G38" s="276">
        <f t="shared" si="1"/>
        <v>-74682767.495200008</v>
      </c>
      <c r="H38" s="2011"/>
      <c r="I38" s="1080"/>
      <c r="J38" s="2009"/>
      <c r="K38" s="2011"/>
      <c r="L38" s="2011"/>
      <c r="N38" s="1092">
        <f>'2. KfW Loan Schedule'!J38</f>
        <v>23387384</v>
      </c>
      <c r="O38" s="1092">
        <f>N37+N38</f>
        <v>46774768</v>
      </c>
    </row>
    <row r="39" spans="2:15" ht="15">
      <c r="B39" s="2009">
        <f>B37+1</f>
        <v>2025</v>
      </c>
      <c r="C39" s="2010">
        <v>18</v>
      </c>
      <c r="D39" s="1079">
        <f t="shared" si="0"/>
        <v>35</v>
      </c>
      <c r="E39" s="276">
        <f>'1. World bank loan'!G39</f>
        <v>-30782860.445600003</v>
      </c>
      <c r="F39" s="276">
        <f>'2. KfW Loan Schedule'!G39</f>
        <v>-43500533.959999993</v>
      </c>
      <c r="G39" s="276">
        <f t="shared" si="1"/>
        <v>-74283394.405599996</v>
      </c>
      <c r="H39" s="2011">
        <f>-(G39+G40)</f>
        <v>148167415.7216</v>
      </c>
      <c r="I39" s="1080"/>
      <c r="J39" s="2009">
        <f>J37+1</f>
        <v>2025</v>
      </c>
      <c r="K39" s="2011">
        <f>-(E39+E40)</f>
        <v>61400221.641600005</v>
      </c>
      <c r="L39" s="2011">
        <f>-(F39+F40)</f>
        <v>86767194.079999983</v>
      </c>
      <c r="N39" s="1092">
        <f>'2. KfW Loan Schedule'!J39</f>
        <v>23387384</v>
      </c>
    </row>
    <row r="40" spans="2:15" ht="15">
      <c r="B40" s="2009"/>
      <c r="C40" s="2010"/>
      <c r="D40" s="1079">
        <f t="shared" si="0"/>
        <v>36</v>
      </c>
      <c r="E40" s="276">
        <f>'1. World bank loan'!G40</f>
        <v>-30617361.196000002</v>
      </c>
      <c r="F40" s="276">
        <f>'2. KfW Loan Schedule'!G40</f>
        <v>-43266660.119999997</v>
      </c>
      <c r="G40" s="276">
        <f t="shared" si="1"/>
        <v>-73884021.316</v>
      </c>
      <c r="H40" s="2011"/>
      <c r="I40" s="1080"/>
      <c r="J40" s="2009"/>
      <c r="K40" s="2011"/>
      <c r="L40" s="2011"/>
      <c r="N40" s="1092">
        <f>'2. KfW Loan Schedule'!J40</f>
        <v>23387384</v>
      </c>
      <c r="O40" s="1092">
        <f>N39+N40</f>
        <v>46774768</v>
      </c>
    </row>
    <row r="41" spans="2:15" ht="15">
      <c r="B41" s="2009">
        <f>B39+1</f>
        <v>2026</v>
      </c>
      <c r="C41" s="2010">
        <v>19</v>
      </c>
      <c r="D41" s="1079">
        <f t="shared" si="0"/>
        <v>37</v>
      </c>
      <c r="E41" s="276">
        <f>'1. World bank loan'!G41</f>
        <v>-30451861.946400002</v>
      </c>
      <c r="F41" s="276">
        <f>'2. KfW Loan Schedule'!G41</f>
        <v>-43032786.280000001</v>
      </c>
      <c r="G41" s="276">
        <f t="shared" si="1"/>
        <v>-73484648.226400003</v>
      </c>
      <c r="H41" s="2011">
        <f>-(G41+G42)</f>
        <v>146569923.36320001</v>
      </c>
      <c r="I41" s="1080"/>
      <c r="J41" s="2009">
        <f>J39+1</f>
        <v>2026</v>
      </c>
      <c r="K41" s="2011">
        <f>-(E41+E42)</f>
        <v>60738224.643200003</v>
      </c>
      <c r="L41" s="2011">
        <f>-(F41+F42)</f>
        <v>85831698.719999999</v>
      </c>
      <c r="N41" s="1092">
        <f>'2. KfW Loan Schedule'!J41</f>
        <v>23387384</v>
      </c>
    </row>
    <row r="42" spans="2:15" ht="15">
      <c r="B42" s="2009"/>
      <c r="C42" s="2010"/>
      <c r="D42" s="1079">
        <f t="shared" si="0"/>
        <v>38</v>
      </c>
      <c r="E42" s="276">
        <f>'1. World bank loan'!G42</f>
        <v>-30286362.696800001</v>
      </c>
      <c r="F42" s="276">
        <f>'2. KfW Loan Schedule'!G42</f>
        <v>-42798912.439999998</v>
      </c>
      <c r="G42" s="276">
        <f t="shared" si="1"/>
        <v>-73085275.136799991</v>
      </c>
      <c r="H42" s="2011"/>
      <c r="I42" s="1080"/>
      <c r="J42" s="2009"/>
      <c r="K42" s="2011"/>
      <c r="L42" s="2011"/>
      <c r="N42" s="1092">
        <f>'2. KfW Loan Schedule'!J42</f>
        <v>23387384</v>
      </c>
      <c r="O42" s="1092">
        <f>N41+N42</f>
        <v>46774768</v>
      </c>
    </row>
    <row r="43" spans="2:15" ht="15">
      <c r="B43" s="2009">
        <f>B41+1</f>
        <v>2027</v>
      </c>
      <c r="C43" s="2010">
        <v>20</v>
      </c>
      <c r="D43" s="1079">
        <f t="shared" si="0"/>
        <v>39</v>
      </c>
      <c r="E43" s="276">
        <f>'1. World bank loan'!G43</f>
        <v>-30120863.4472</v>
      </c>
      <c r="F43" s="276">
        <f>'2. KfW Loan Schedule'!G43</f>
        <v>-65952421.599999994</v>
      </c>
      <c r="G43" s="276">
        <f t="shared" si="1"/>
        <v>-96073285.047199994</v>
      </c>
      <c r="H43" s="2011">
        <f>-(G43+G44)</f>
        <v>191513323.17479998</v>
      </c>
      <c r="I43" s="1080"/>
      <c r="J43" s="2009">
        <f>J41+1</f>
        <v>2027</v>
      </c>
      <c r="K43" s="2011">
        <f>-(E43+E44)</f>
        <v>60076227.6448</v>
      </c>
      <c r="L43" s="2011">
        <f>-(F43+F44)</f>
        <v>131437095.53</v>
      </c>
      <c r="N43" s="1092">
        <f>'2. KfW Loan Schedule'!J43</f>
        <v>46774767</v>
      </c>
    </row>
    <row r="44" spans="2:15" ht="15">
      <c r="B44" s="2009"/>
      <c r="C44" s="2010"/>
      <c r="D44" s="1079">
        <f t="shared" si="0"/>
        <v>40</v>
      </c>
      <c r="E44" s="276">
        <f>'1. World bank loan'!G44</f>
        <v>-29955364.1976</v>
      </c>
      <c r="F44" s="276">
        <f>'2. KfW Loan Schedule'!G44</f>
        <v>-65484673.93</v>
      </c>
      <c r="G44" s="276">
        <f t="shared" si="1"/>
        <v>-95440038.127599999</v>
      </c>
      <c r="H44" s="2011"/>
      <c r="I44" s="1080"/>
      <c r="J44" s="2009"/>
      <c r="K44" s="2011"/>
      <c r="L44" s="2011"/>
      <c r="N44" s="1092">
        <f>'2. KfW Loan Schedule'!J44</f>
        <v>46774767</v>
      </c>
      <c r="O44" s="1092">
        <f>N43+N44</f>
        <v>93549534</v>
      </c>
    </row>
    <row r="45" spans="2:15" ht="15">
      <c r="B45" s="2009">
        <f>B43+1</f>
        <v>2028</v>
      </c>
      <c r="C45" s="2010">
        <v>21</v>
      </c>
      <c r="D45" s="1079">
        <f t="shared" si="0"/>
        <v>41</v>
      </c>
      <c r="E45" s="276">
        <f>'1. World bank loan'!G45</f>
        <v>-46339789.908000007</v>
      </c>
      <c r="F45" s="276">
        <f>'2. KfW Loan Schedule'!G45</f>
        <v>-65016926.259999998</v>
      </c>
      <c r="G45" s="276">
        <f t="shared" si="1"/>
        <v>-111356716.16800001</v>
      </c>
      <c r="H45" s="2011">
        <f>-(G45+G46)</f>
        <v>221914686.16680002</v>
      </c>
      <c r="I45" s="1080"/>
      <c r="J45" s="2009">
        <f>J43+1</f>
        <v>2028</v>
      </c>
      <c r="K45" s="2011">
        <f>-(E45+E46)</f>
        <v>92348581.316800013</v>
      </c>
      <c r="L45" s="2011">
        <f>-(F45+F46)</f>
        <v>129566104.84999999</v>
      </c>
      <c r="N45" s="1092">
        <f>'2. KfW Loan Schedule'!J45</f>
        <v>46774767</v>
      </c>
    </row>
    <row r="46" spans="2:15" ht="15">
      <c r="B46" s="2009"/>
      <c r="C46" s="2010"/>
      <c r="D46" s="1079">
        <f t="shared" si="0"/>
        <v>42</v>
      </c>
      <c r="E46" s="276">
        <f>'1. World bank loan'!G46</f>
        <v>-46008791.408800006</v>
      </c>
      <c r="F46" s="276">
        <f>'2. KfW Loan Schedule'!G46</f>
        <v>-64549178.589999996</v>
      </c>
      <c r="G46" s="276">
        <f t="shared" si="1"/>
        <v>-110557969.99880001</v>
      </c>
      <c r="H46" s="2011"/>
      <c r="I46" s="1080"/>
      <c r="J46" s="2009"/>
      <c r="K46" s="2011"/>
      <c r="L46" s="2011"/>
      <c r="N46" s="1092">
        <f>'2. KfW Loan Schedule'!J46</f>
        <v>46774767</v>
      </c>
      <c r="O46" s="1092">
        <f>N45+N46</f>
        <v>93549534</v>
      </c>
    </row>
    <row r="47" spans="2:15" ht="15">
      <c r="B47" s="2009">
        <f>B45+1</f>
        <v>2029</v>
      </c>
      <c r="C47" s="2010">
        <v>22</v>
      </c>
      <c r="D47" s="1079">
        <f t="shared" si="0"/>
        <v>43</v>
      </c>
      <c r="E47" s="276">
        <f>'1. World bank loan'!G47</f>
        <v>-45677792.909600005</v>
      </c>
      <c r="F47" s="276">
        <f>'2. KfW Loan Schedule'!G47</f>
        <v>-64081430.920000002</v>
      </c>
      <c r="G47" s="276">
        <f t="shared" si="1"/>
        <v>-109759223.82960001</v>
      </c>
      <c r="H47" s="2011">
        <f>-(G47+G48)</f>
        <v>218719701.49000001</v>
      </c>
      <c r="I47" s="1080"/>
      <c r="J47" s="2009">
        <f>J45+1</f>
        <v>2029</v>
      </c>
      <c r="K47" s="2011">
        <f>-(E47+E48)</f>
        <v>91024587.320000008</v>
      </c>
      <c r="L47" s="2011">
        <f>-(F47+F48)</f>
        <v>127695114.17</v>
      </c>
      <c r="N47" s="1092">
        <f>'2. KfW Loan Schedule'!J47</f>
        <v>46774767</v>
      </c>
    </row>
    <row r="48" spans="2:15" ht="15">
      <c r="B48" s="2009"/>
      <c r="C48" s="2010"/>
      <c r="D48" s="1079">
        <f t="shared" si="0"/>
        <v>44</v>
      </c>
      <c r="E48" s="276">
        <f>'1. World bank loan'!G48</f>
        <v>-45346794.410400003</v>
      </c>
      <c r="F48" s="276">
        <f>'2. KfW Loan Schedule'!G48</f>
        <v>-63613683.25</v>
      </c>
      <c r="G48" s="276">
        <f t="shared" si="1"/>
        <v>-108960477.6604</v>
      </c>
      <c r="H48" s="2011"/>
      <c r="I48" s="1080"/>
      <c r="J48" s="2009"/>
      <c r="K48" s="2011"/>
      <c r="L48" s="2011"/>
      <c r="N48" s="1092">
        <f>'2. KfW Loan Schedule'!J48</f>
        <v>46774767</v>
      </c>
      <c r="O48" s="1092">
        <f>N47+N48</f>
        <v>93549534</v>
      </c>
    </row>
    <row r="49" spans="2:15" ht="15">
      <c r="B49" s="2009">
        <f>B47+1</f>
        <v>2030</v>
      </c>
      <c r="C49" s="2010">
        <v>23</v>
      </c>
      <c r="D49" s="1079">
        <f t="shared" si="0"/>
        <v>45</v>
      </c>
      <c r="E49" s="276">
        <f>'1. World bank loan'!G49</f>
        <v>-45015795.911200002</v>
      </c>
      <c r="F49" s="276">
        <f>'2. KfW Loan Schedule'!G49</f>
        <v>-63145935.579999998</v>
      </c>
      <c r="G49" s="276">
        <f t="shared" si="1"/>
        <v>-108161731.4912</v>
      </c>
      <c r="H49" s="2011">
        <f>-(G49+G50)</f>
        <v>215524716.8132</v>
      </c>
      <c r="I49" s="1080"/>
      <c r="J49" s="2009">
        <f>J47+1</f>
        <v>2030</v>
      </c>
      <c r="K49" s="2011">
        <f>-(E49+E50)</f>
        <v>89700593.323200002</v>
      </c>
      <c r="L49" s="2011">
        <f>-(F49+F50)</f>
        <v>125824123.48999999</v>
      </c>
      <c r="N49" s="1092">
        <f>'2. KfW Loan Schedule'!J49</f>
        <v>46774767</v>
      </c>
    </row>
    <row r="50" spans="2:15" ht="15">
      <c r="B50" s="2009"/>
      <c r="C50" s="2010"/>
      <c r="D50" s="1079">
        <f t="shared" si="0"/>
        <v>46</v>
      </c>
      <c r="E50" s="276">
        <f>'1. World bank loan'!G50</f>
        <v>-44684797.412</v>
      </c>
      <c r="F50" s="276">
        <f>'2. KfW Loan Schedule'!G50</f>
        <v>-62678187.909999996</v>
      </c>
      <c r="G50" s="276">
        <f t="shared" si="1"/>
        <v>-107362985.322</v>
      </c>
      <c r="H50" s="2011"/>
      <c r="I50" s="1080"/>
      <c r="J50" s="2009"/>
      <c r="K50" s="2011"/>
      <c r="L50" s="2011"/>
      <c r="N50" s="1092">
        <f>'2. KfW Loan Schedule'!J50</f>
        <v>46774767</v>
      </c>
      <c r="O50" s="1092">
        <f>N49+N50</f>
        <v>93549534</v>
      </c>
    </row>
    <row r="51" spans="2:15" ht="15">
      <c r="B51" s="2009">
        <f>B49+1</f>
        <v>2031</v>
      </c>
      <c r="C51" s="2010">
        <v>24</v>
      </c>
      <c r="D51" s="1079">
        <f t="shared" si="0"/>
        <v>47</v>
      </c>
      <c r="E51" s="276">
        <f>'1. World bank loan'!G51</f>
        <v>-44353798.912800007</v>
      </c>
      <c r="F51" s="276">
        <f>'2. KfW Loan Schedule'!G51</f>
        <v>-62210440.239999995</v>
      </c>
      <c r="G51" s="276">
        <f t="shared" si="1"/>
        <v>-106564239.15279999</v>
      </c>
      <c r="H51" s="2011">
        <f>-(G51+G52)</f>
        <v>212329732.13639998</v>
      </c>
      <c r="I51" s="1080"/>
      <c r="J51" s="2009">
        <f>J49+1</f>
        <v>2031</v>
      </c>
      <c r="K51" s="2011">
        <f>-(E51+E52)</f>
        <v>88376599.326400012</v>
      </c>
      <c r="L51" s="2011">
        <f>-(F51+F52)</f>
        <v>123953132.81</v>
      </c>
      <c r="N51" s="1092">
        <f>'2. KfW Loan Schedule'!J51</f>
        <v>46774767</v>
      </c>
    </row>
    <row r="52" spans="2:15" ht="15">
      <c r="B52" s="2009"/>
      <c r="C52" s="2010"/>
      <c r="D52" s="1079">
        <f t="shared" si="0"/>
        <v>48</v>
      </c>
      <c r="E52" s="276">
        <f>'1. World bank loan'!G52</f>
        <v>-44022800.413600005</v>
      </c>
      <c r="F52" s="276">
        <f>'2. KfW Loan Schedule'!G52</f>
        <v>-61742692.57</v>
      </c>
      <c r="G52" s="276">
        <f t="shared" si="1"/>
        <v>-105765492.98360001</v>
      </c>
      <c r="H52" s="2011"/>
      <c r="I52" s="1080"/>
      <c r="J52" s="2009"/>
      <c r="K52" s="2011"/>
      <c r="L52" s="2011"/>
      <c r="N52" s="1092">
        <f>'2. KfW Loan Schedule'!J52</f>
        <v>46774767</v>
      </c>
      <c r="O52" s="1092">
        <f>N51+N52</f>
        <v>93549534</v>
      </c>
    </row>
    <row r="53" spans="2:15" ht="15">
      <c r="B53" s="2009">
        <f>B51+1</f>
        <v>2032</v>
      </c>
      <c r="C53" s="2010">
        <v>25</v>
      </c>
      <c r="D53" s="1079">
        <f t="shared" si="0"/>
        <v>49</v>
      </c>
      <c r="E53" s="276">
        <f>'1. World bank loan'!G53</f>
        <v>-43691801.914400004</v>
      </c>
      <c r="F53" s="276">
        <f>'2. KfW Loan Schedule'!G53</f>
        <v>-61274944.899999999</v>
      </c>
      <c r="G53" s="276">
        <f t="shared" si="1"/>
        <v>-104966746.8144</v>
      </c>
      <c r="H53" s="2011">
        <f>-(G53+G54)</f>
        <v>209134747.4596</v>
      </c>
      <c r="I53" s="1080"/>
      <c r="J53" s="2009">
        <f>J51+1</f>
        <v>2032</v>
      </c>
      <c r="K53" s="2011">
        <f>-(E53+E54)</f>
        <v>87052605.329600006</v>
      </c>
      <c r="L53" s="2011">
        <f>-(F53+F54)</f>
        <v>122082142.13</v>
      </c>
      <c r="N53" s="1092">
        <f>'2. KfW Loan Schedule'!J53</f>
        <v>46774767</v>
      </c>
    </row>
    <row r="54" spans="2:15" ht="15">
      <c r="B54" s="2009"/>
      <c r="C54" s="2010"/>
      <c r="D54" s="1079">
        <f t="shared" si="0"/>
        <v>50</v>
      </c>
      <c r="E54" s="276">
        <f>'1. World bank loan'!G54</f>
        <v>-43360803.415200002</v>
      </c>
      <c r="F54" s="276">
        <f>'2. KfW Loan Schedule'!G54</f>
        <v>-60807197.229999997</v>
      </c>
      <c r="G54" s="276">
        <f t="shared" si="1"/>
        <v>-104168000.6452</v>
      </c>
      <c r="H54" s="2011"/>
      <c r="I54" s="1080"/>
      <c r="J54" s="2009"/>
      <c r="K54" s="2011"/>
      <c r="L54" s="2011"/>
      <c r="N54" s="1092">
        <f>'2. KfW Loan Schedule'!J54</f>
        <v>46774767</v>
      </c>
      <c r="O54" s="1092">
        <f>N53+N54</f>
        <v>93549534</v>
      </c>
    </row>
    <row r="55" spans="2:15" ht="15">
      <c r="B55" s="2009">
        <f>B53+1</f>
        <v>2033</v>
      </c>
      <c r="C55" s="2010">
        <v>26</v>
      </c>
      <c r="D55" s="1079">
        <f t="shared" si="0"/>
        <v>51</v>
      </c>
      <c r="E55" s="276">
        <f>'1. World bank loan'!G55</f>
        <v>-43029804.916000001</v>
      </c>
      <c r="F55" s="276">
        <f>'2. KfW Loan Schedule'!G55</f>
        <v>-60339449.560000002</v>
      </c>
      <c r="G55" s="276">
        <f t="shared" si="1"/>
        <v>-103369254.47600001</v>
      </c>
      <c r="H55" s="2011">
        <f>-(G55+G56)</f>
        <v>205939762.78280002</v>
      </c>
      <c r="I55" s="1080"/>
      <c r="J55" s="2009">
        <f>J53+1</f>
        <v>2033</v>
      </c>
      <c r="K55" s="2011">
        <f>-(E55+E56)</f>
        <v>85728611.332800001</v>
      </c>
      <c r="L55" s="2011">
        <f>-(F55+F56)</f>
        <v>120211151.45</v>
      </c>
      <c r="N55" s="1092">
        <f>'2. KfW Loan Schedule'!J55</f>
        <v>46774767</v>
      </c>
    </row>
    <row r="56" spans="2:15" ht="15">
      <c r="B56" s="2009"/>
      <c r="C56" s="2010"/>
      <c r="D56" s="1079">
        <f t="shared" si="0"/>
        <v>52</v>
      </c>
      <c r="E56" s="276">
        <f>'1. World bank loan'!G56</f>
        <v>-42698806.416800007</v>
      </c>
      <c r="F56" s="276">
        <f>'2. KfW Loan Schedule'!G56</f>
        <v>-59871701.890000001</v>
      </c>
      <c r="G56" s="276">
        <f t="shared" si="1"/>
        <v>-102570508.30680001</v>
      </c>
      <c r="H56" s="2011"/>
      <c r="I56" s="1080"/>
      <c r="J56" s="2009"/>
      <c r="K56" s="2011"/>
      <c r="L56" s="2011"/>
      <c r="N56" s="1092">
        <f>'2. KfW Loan Schedule'!J56</f>
        <v>46774767</v>
      </c>
      <c r="O56" s="1092">
        <f>N55+N56</f>
        <v>93549534</v>
      </c>
    </row>
    <row r="57" spans="2:15" ht="15">
      <c r="B57" s="2009">
        <f>B55+1</f>
        <v>2034</v>
      </c>
      <c r="C57" s="2010">
        <v>27</v>
      </c>
      <c r="D57" s="1079">
        <f t="shared" si="0"/>
        <v>53</v>
      </c>
      <c r="E57" s="276">
        <f>'1. World bank loan'!G57</f>
        <v>-42367807.917600006</v>
      </c>
      <c r="F57" s="276">
        <f>'2. KfW Loan Schedule'!G57</f>
        <v>-59403954.219999999</v>
      </c>
      <c r="G57" s="276">
        <f t="shared" si="1"/>
        <v>-101771762.1376</v>
      </c>
      <c r="H57" s="2011">
        <f>-(G57+G58)</f>
        <v>202744778.10600001</v>
      </c>
      <c r="I57" s="1080"/>
      <c r="J57" s="2009">
        <f>J55+1</f>
        <v>2034</v>
      </c>
      <c r="K57" s="2011">
        <f>-(E57+E58)</f>
        <v>84404617.33600001</v>
      </c>
      <c r="L57" s="2011">
        <f>-(F57+F58)</f>
        <v>118340160.77</v>
      </c>
      <c r="N57" s="1092">
        <f>'2. KfW Loan Schedule'!J57</f>
        <v>46774767</v>
      </c>
    </row>
    <row r="58" spans="2:15" ht="15">
      <c r="B58" s="2009"/>
      <c r="C58" s="2010"/>
      <c r="D58" s="1079">
        <f t="shared" si="0"/>
        <v>54</v>
      </c>
      <c r="E58" s="276">
        <f>'1. World bank loan'!G58</f>
        <v>-42036809.418400005</v>
      </c>
      <c r="F58" s="276">
        <f>'2. KfW Loan Schedule'!G58</f>
        <v>-58936206.549999997</v>
      </c>
      <c r="G58" s="276">
        <f t="shared" si="1"/>
        <v>-100973015.9684</v>
      </c>
      <c r="H58" s="2011"/>
      <c r="I58" s="1080"/>
      <c r="J58" s="2009"/>
      <c r="K58" s="2011"/>
      <c r="L58" s="2011"/>
      <c r="N58" s="1092">
        <f>'2. KfW Loan Schedule'!J58</f>
        <v>46774767</v>
      </c>
      <c r="O58" s="1092">
        <f>N57+N58</f>
        <v>93549534</v>
      </c>
    </row>
    <row r="59" spans="2:15" ht="15">
      <c r="B59" s="2009">
        <f>B57+1</f>
        <v>2035</v>
      </c>
      <c r="C59" s="2010">
        <v>28</v>
      </c>
      <c r="D59" s="1079">
        <f t="shared" si="0"/>
        <v>55</v>
      </c>
      <c r="E59" s="276">
        <f>'1. World bank loan'!G59</f>
        <v>-41705810.919200003</v>
      </c>
      <c r="F59" s="276">
        <f>'2. KfW Loan Schedule'!G59</f>
        <v>-58468458.879999995</v>
      </c>
      <c r="G59" s="276">
        <f t="shared" si="1"/>
        <v>-100174269.7992</v>
      </c>
      <c r="H59" s="2011">
        <f>-(G59+G60)</f>
        <v>199549793.42919999</v>
      </c>
      <c r="I59" s="1080"/>
      <c r="J59" s="2009">
        <f>J57+1</f>
        <v>2035</v>
      </c>
      <c r="K59" s="2011">
        <f>-(E59+E60)</f>
        <v>83080623.339200005</v>
      </c>
      <c r="L59" s="2011">
        <f>-(F59+F60)</f>
        <v>116469170.09</v>
      </c>
      <c r="N59" s="1092">
        <f>'2. KfW Loan Schedule'!J59</f>
        <v>46774767</v>
      </c>
    </row>
    <row r="60" spans="2:15" ht="15">
      <c r="B60" s="2009"/>
      <c r="C60" s="2010"/>
      <c r="D60" s="1079">
        <f t="shared" si="0"/>
        <v>56</v>
      </c>
      <c r="E60" s="276">
        <f>'1. World bank loan'!G60</f>
        <v>-41374812.420000002</v>
      </c>
      <c r="F60" s="276">
        <f>'2. KfW Loan Schedule'!G60</f>
        <v>-58000711.210000001</v>
      </c>
      <c r="G60" s="276">
        <f t="shared" si="1"/>
        <v>-99375523.629999995</v>
      </c>
      <c r="H60" s="2011"/>
      <c r="I60" s="1080"/>
      <c r="J60" s="2009"/>
      <c r="K60" s="2011"/>
      <c r="L60" s="2011"/>
      <c r="N60" s="1092">
        <f>'2. KfW Loan Schedule'!J60</f>
        <v>46774767</v>
      </c>
      <c r="O60" s="1092">
        <f>N59+N60</f>
        <v>93549534</v>
      </c>
    </row>
    <row r="61" spans="2:15" ht="15">
      <c r="B61" s="2009">
        <f>B59+1</f>
        <v>2036</v>
      </c>
      <c r="C61" s="2010">
        <v>29</v>
      </c>
      <c r="D61" s="1079">
        <f t="shared" si="0"/>
        <v>57</v>
      </c>
      <c r="E61" s="276">
        <f>'1. World bank loan'!G61</f>
        <v>-41043813.9208</v>
      </c>
      <c r="F61" s="276">
        <f>'2. KfW Loan Schedule'!G61</f>
        <v>-57532963.539999999</v>
      </c>
      <c r="G61" s="276">
        <f t="shared" si="1"/>
        <v>-98576777.460799992</v>
      </c>
      <c r="H61" s="2011">
        <f>-(G61+G62)</f>
        <v>196354808.75239998</v>
      </c>
      <c r="I61" s="1080"/>
      <c r="J61" s="2009">
        <f>J59+1</f>
        <v>2036</v>
      </c>
      <c r="K61" s="2011">
        <f>-(E61+E62)</f>
        <v>81756629.342399999</v>
      </c>
      <c r="L61" s="2011">
        <f>-(F61+F62)</f>
        <v>114598179.41</v>
      </c>
      <c r="N61" s="1092">
        <f>'2. KfW Loan Schedule'!J61</f>
        <v>46774767</v>
      </c>
    </row>
    <row r="62" spans="2:15" ht="15">
      <c r="B62" s="2009"/>
      <c r="C62" s="2010"/>
      <c r="D62" s="1079">
        <f t="shared" si="0"/>
        <v>58</v>
      </c>
      <c r="E62" s="276">
        <f>'1. World bank loan'!G62</f>
        <v>-40712815.421599999</v>
      </c>
      <c r="F62" s="276">
        <f>'2. KfW Loan Schedule'!G62</f>
        <v>-57065215.870000005</v>
      </c>
      <c r="G62" s="276">
        <f t="shared" si="1"/>
        <v>-97778031.291600004</v>
      </c>
      <c r="H62" s="2011"/>
      <c r="I62" s="1080"/>
      <c r="J62" s="2009"/>
      <c r="K62" s="2011"/>
      <c r="L62" s="2011"/>
      <c r="N62" s="1092">
        <f>'2. KfW Loan Schedule'!J62</f>
        <v>46774767</v>
      </c>
      <c r="O62" s="1092">
        <f>N61+N62</f>
        <v>93549534</v>
      </c>
    </row>
    <row r="63" spans="2:15" ht="15">
      <c r="B63" s="2009">
        <f>B61+1</f>
        <v>2037</v>
      </c>
      <c r="C63" s="2010">
        <v>30</v>
      </c>
      <c r="D63" s="1079">
        <f t="shared" si="0"/>
        <v>59</v>
      </c>
      <c r="E63" s="276">
        <f>'1. World bank loan'!G63</f>
        <v>-40381816.922400005</v>
      </c>
      <c r="F63" s="276">
        <f>'2. KfW Loan Schedule'!G63</f>
        <v>-56597468.200000003</v>
      </c>
      <c r="G63" s="276">
        <f t="shared" si="1"/>
        <v>-96979285.122400016</v>
      </c>
      <c r="H63" s="2011">
        <f>-(G63+G64)</f>
        <v>193159824.07560003</v>
      </c>
      <c r="I63" s="1080"/>
      <c r="J63" s="2009">
        <f>J61+1</f>
        <v>2037</v>
      </c>
      <c r="K63" s="2011">
        <f>-(E63+E64)</f>
        <v>80432635.345600009</v>
      </c>
      <c r="L63" s="2011">
        <f>-(F63+F64)</f>
        <v>112727188.73</v>
      </c>
      <c r="N63" s="1092">
        <f>'2. KfW Loan Schedule'!J63</f>
        <v>46774767</v>
      </c>
    </row>
    <row r="64" spans="2:15" ht="15">
      <c r="B64" s="2009"/>
      <c r="C64" s="2010"/>
      <c r="D64" s="1079">
        <f t="shared" si="0"/>
        <v>60</v>
      </c>
      <c r="E64" s="276">
        <f>'1. World bank loan'!G64</f>
        <v>-40050818.423200004</v>
      </c>
      <c r="F64" s="276">
        <f>'2. KfW Loan Schedule'!G64</f>
        <v>-56129720.530000001</v>
      </c>
      <c r="G64" s="276">
        <f t="shared" si="1"/>
        <v>-96180538.953200012</v>
      </c>
      <c r="H64" s="2011"/>
      <c r="I64" s="1080"/>
      <c r="J64" s="2009"/>
      <c r="K64" s="2011"/>
      <c r="L64" s="2011"/>
      <c r="N64" s="1092">
        <f>'2. KfW Loan Schedule'!J64</f>
        <v>46774767</v>
      </c>
      <c r="O64" s="1092">
        <f>N63+N64</f>
        <v>93549534</v>
      </c>
    </row>
    <row r="65" spans="2:15" ht="15">
      <c r="B65" s="2009">
        <f>B63+1</f>
        <v>2038</v>
      </c>
      <c r="C65" s="2010">
        <v>31</v>
      </c>
      <c r="D65" s="1079">
        <f t="shared" si="0"/>
        <v>61</v>
      </c>
      <c r="E65" s="276">
        <f>'1. World bank loan'!G65</f>
        <v>-39719819.924000002</v>
      </c>
      <c r="F65" s="276">
        <f>'2. KfW Loan Schedule'!G65</f>
        <v>-55661972.859999999</v>
      </c>
      <c r="G65" s="276">
        <f t="shared" si="1"/>
        <v>-95381792.784000009</v>
      </c>
      <c r="H65" s="2011">
        <f>-(G65+G66)</f>
        <v>189964839.39880002</v>
      </c>
      <c r="I65" s="1080"/>
      <c r="J65" s="2009">
        <f>J63+1</f>
        <v>2038</v>
      </c>
      <c r="K65" s="2011">
        <f>-(E65+E66)</f>
        <v>79108641.348800004</v>
      </c>
      <c r="L65" s="2011">
        <f>-(F65+F66)</f>
        <v>110856198.05</v>
      </c>
      <c r="N65" s="1092">
        <f>'2. KfW Loan Schedule'!J65</f>
        <v>46774767</v>
      </c>
    </row>
    <row r="66" spans="2:15" ht="15">
      <c r="B66" s="2009"/>
      <c r="C66" s="2010"/>
      <c r="D66" s="1079">
        <f t="shared" si="0"/>
        <v>62</v>
      </c>
      <c r="E66" s="276">
        <f>'1. World bank loan'!G66</f>
        <v>-39388821.424800001</v>
      </c>
      <c r="F66" s="276">
        <f>'2. KfW Loan Schedule'!G66</f>
        <v>-55194225.189999998</v>
      </c>
      <c r="G66" s="276">
        <f t="shared" si="1"/>
        <v>-94583046.614800006</v>
      </c>
      <c r="H66" s="2011"/>
      <c r="I66" s="1080"/>
      <c r="J66" s="2009"/>
      <c r="K66" s="2011"/>
      <c r="L66" s="2011"/>
      <c r="N66" s="1092">
        <f>'2. KfW Loan Schedule'!J66</f>
        <v>46774767</v>
      </c>
      <c r="O66" s="1092">
        <f>N65+N66</f>
        <v>93549534</v>
      </c>
    </row>
    <row r="67" spans="2:15" ht="15">
      <c r="B67" s="2009">
        <f>B65+1</f>
        <v>2039</v>
      </c>
      <c r="C67" s="2010">
        <v>32</v>
      </c>
      <c r="D67" s="1079">
        <f t="shared" si="0"/>
        <v>63</v>
      </c>
      <c r="E67" s="276">
        <f>'1. World bank loan'!G67</f>
        <v>-39057822.9256</v>
      </c>
      <c r="F67" s="276">
        <f>'2. KfW Loan Schedule'!G67</f>
        <v>-54726477.520000003</v>
      </c>
      <c r="G67" s="276">
        <f t="shared" si="1"/>
        <v>-93784300.445600003</v>
      </c>
      <c r="H67" s="2011">
        <f>-(G67+G68)</f>
        <v>186769854.722</v>
      </c>
      <c r="I67" s="1080"/>
      <c r="J67" s="2009">
        <f>J65+1</f>
        <v>2039</v>
      </c>
      <c r="K67" s="2011">
        <f>-(E67+E68)</f>
        <v>77784647.351999998</v>
      </c>
      <c r="L67" s="2011">
        <f>-(F67+F68)</f>
        <v>108985207.37</v>
      </c>
      <c r="N67" s="1092">
        <f>'2. KfW Loan Schedule'!J67</f>
        <v>46774767</v>
      </c>
    </row>
    <row r="68" spans="2:15" ht="15">
      <c r="B68" s="2009"/>
      <c r="C68" s="2010"/>
      <c r="D68" s="1079">
        <f t="shared" si="0"/>
        <v>64</v>
      </c>
      <c r="E68" s="276">
        <f>'1. World bank loan'!G68</f>
        <v>-38726824.426400006</v>
      </c>
      <c r="F68" s="276">
        <f>'2. KfW Loan Schedule'!G68</f>
        <v>-54258729.850000001</v>
      </c>
      <c r="G68" s="276">
        <f t="shared" si="1"/>
        <v>-92985554.2764</v>
      </c>
      <c r="H68" s="2011"/>
      <c r="I68" s="1080"/>
      <c r="J68" s="2009"/>
      <c r="K68" s="2011"/>
      <c r="L68" s="2011"/>
      <c r="N68" s="1092">
        <f>'2. KfW Loan Schedule'!J68</f>
        <v>46774767</v>
      </c>
      <c r="O68" s="1092">
        <f>N67+N68</f>
        <v>93549534</v>
      </c>
    </row>
    <row r="69" spans="2:15" ht="15">
      <c r="B69" s="2009">
        <f>B67+1</f>
        <v>2040</v>
      </c>
      <c r="C69" s="2010">
        <v>33</v>
      </c>
      <c r="D69" s="1079">
        <f t="shared" si="0"/>
        <v>65</v>
      </c>
      <c r="E69" s="276">
        <f>'1. World bank loan'!G69</f>
        <v>-38395825.927200004</v>
      </c>
      <c r="F69" s="276">
        <f>'2. KfW Loan Schedule'!G69</f>
        <v>-53790982.18</v>
      </c>
      <c r="G69" s="276">
        <f t="shared" si="1"/>
        <v>-92186808.107199997</v>
      </c>
      <c r="H69" s="2011">
        <f>-(G69+G70)</f>
        <v>183574870.04519999</v>
      </c>
      <c r="I69" s="1080"/>
      <c r="J69" s="2009">
        <f>J67+1</f>
        <v>2040</v>
      </c>
      <c r="K69" s="2011">
        <f>-(E69+E70)</f>
        <v>76460653.355200008</v>
      </c>
      <c r="L69" s="2011">
        <f>-(F69+F70)</f>
        <v>107114216.69</v>
      </c>
      <c r="N69" s="1092">
        <f>'2. KfW Loan Schedule'!J69</f>
        <v>46774767</v>
      </c>
    </row>
    <row r="70" spans="2:15" ht="15">
      <c r="B70" s="2009"/>
      <c r="C70" s="2010"/>
      <c r="D70" s="1079">
        <f t="shared" ref="D70:D86" si="2">D69+1</f>
        <v>66</v>
      </c>
      <c r="E70" s="276">
        <f>'1. World bank loan'!G70</f>
        <v>-38064827.428000003</v>
      </c>
      <c r="F70" s="276">
        <f>'2. KfW Loan Schedule'!G70</f>
        <v>-53323234.509999998</v>
      </c>
      <c r="G70" s="276">
        <f t="shared" ref="G70:G85" si="3">E70+F70</f>
        <v>-91388061.937999994</v>
      </c>
      <c r="H70" s="2011"/>
      <c r="I70" s="1080"/>
      <c r="J70" s="2009"/>
      <c r="K70" s="2011"/>
      <c r="L70" s="2011"/>
      <c r="N70" s="1092">
        <f>'2. KfW Loan Schedule'!J70</f>
        <v>46774767</v>
      </c>
      <c r="O70" s="1092">
        <f>N69+N70</f>
        <v>93549534</v>
      </c>
    </row>
    <row r="71" spans="2:15" ht="15">
      <c r="B71" s="2009">
        <f>B69+1</f>
        <v>2041</v>
      </c>
      <c r="C71" s="2010">
        <v>34</v>
      </c>
      <c r="D71" s="1079">
        <f t="shared" si="2"/>
        <v>67</v>
      </c>
      <c r="E71" s="276">
        <f>'1. World bank loan'!G71</f>
        <v>-37733828.928800002</v>
      </c>
      <c r="F71" s="276">
        <f>'2. KfW Loan Schedule'!G71</f>
        <v>-52855486.840000004</v>
      </c>
      <c r="G71" s="276">
        <f t="shared" si="3"/>
        <v>-90589315.768800005</v>
      </c>
      <c r="H71" s="2011">
        <f>-(G71+G72)</f>
        <v>180379885.36840001</v>
      </c>
      <c r="I71" s="1080"/>
      <c r="J71" s="2009">
        <f>J69+1</f>
        <v>2041</v>
      </c>
      <c r="K71" s="2011">
        <f>-(E71+E72)</f>
        <v>75136659.358400002</v>
      </c>
      <c r="L71" s="2011">
        <f>-(F71+F72)</f>
        <v>105243226.01000001</v>
      </c>
      <c r="N71" s="1092">
        <f>'2. KfW Loan Schedule'!J71</f>
        <v>46774767</v>
      </c>
    </row>
    <row r="72" spans="2:15" ht="15">
      <c r="B72" s="2009"/>
      <c r="C72" s="2010"/>
      <c r="D72" s="1079">
        <f t="shared" si="2"/>
        <v>68</v>
      </c>
      <c r="E72" s="276">
        <f>'1. World bank loan'!G72</f>
        <v>-37402830.4296</v>
      </c>
      <c r="F72" s="276">
        <f>'2. KfW Loan Schedule'!G72</f>
        <v>-52387739.170000002</v>
      </c>
      <c r="G72" s="276">
        <f t="shared" si="3"/>
        <v>-89790569.599600002</v>
      </c>
      <c r="H72" s="2011"/>
      <c r="I72" s="1080"/>
      <c r="J72" s="2009"/>
      <c r="K72" s="2011"/>
      <c r="L72" s="2011"/>
      <c r="N72" s="1092">
        <f>'2. KfW Loan Schedule'!J72</f>
        <v>46774767</v>
      </c>
      <c r="O72" s="1092">
        <f>N71+N72</f>
        <v>93549534</v>
      </c>
    </row>
    <row r="73" spans="2:15" ht="15">
      <c r="B73" s="2009">
        <f>B71+1</f>
        <v>2042</v>
      </c>
      <c r="C73" s="2010">
        <v>35</v>
      </c>
      <c r="D73" s="1079">
        <f t="shared" si="2"/>
        <v>69</v>
      </c>
      <c r="E73" s="276">
        <f>'1. World bank loan'!G73</f>
        <v>-37071831.930399999</v>
      </c>
      <c r="F73" s="276">
        <f>'2. KfW Loan Schedule'!G73</f>
        <v>-51919991.5</v>
      </c>
      <c r="G73" s="276">
        <f t="shared" si="3"/>
        <v>-88991823.430399999</v>
      </c>
      <c r="H73" s="2011">
        <f>-(G73+G74)</f>
        <v>177184900.69160002</v>
      </c>
      <c r="I73" s="1080"/>
      <c r="J73" s="2009">
        <f>J71+1</f>
        <v>2042</v>
      </c>
      <c r="K73" s="2011">
        <f>-(E73+E74)</f>
        <v>73812665.361600012</v>
      </c>
      <c r="L73" s="2011">
        <f>-(F73+F74)</f>
        <v>103372235.33</v>
      </c>
      <c r="N73" s="1092">
        <f>'2. KfW Loan Schedule'!J73</f>
        <v>46774767</v>
      </c>
    </row>
    <row r="74" spans="2:15" ht="15">
      <c r="B74" s="2009"/>
      <c r="C74" s="2010"/>
      <c r="D74" s="1079">
        <f t="shared" si="2"/>
        <v>70</v>
      </c>
      <c r="E74" s="276">
        <f>'1. World bank loan'!G74</f>
        <v>-36740833.431200005</v>
      </c>
      <c r="F74" s="276">
        <f>'2. KfW Loan Schedule'!G74</f>
        <v>-51452243.829999998</v>
      </c>
      <c r="G74" s="276">
        <f t="shared" si="3"/>
        <v>-88193077.261200011</v>
      </c>
      <c r="H74" s="2011"/>
      <c r="I74" s="1080"/>
      <c r="J74" s="2009"/>
      <c r="K74" s="2011"/>
      <c r="L74" s="2011"/>
      <c r="N74" s="1092">
        <f>'2. KfW Loan Schedule'!J74</f>
        <v>46774767</v>
      </c>
      <c r="O74" s="1092">
        <f>N73+N74</f>
        <v>93549534</v>
      </c>
    </row>
    <row r="75" spans="2:15" ht="15">
      <c r="B75" s="2009">
        <f>B73+1</f>
        <v>2043</v>
      </c>
      <c r="C75" s="2010">
        <v>36</v>
      </c>
      <c r="D75" s="1079">
        <f t="shared" si="2"/>
        <v>71</v>
      </c>
      <c r="E75" s="276">
        <f>'1. World bank loan'!G75</f>
        <v>-36409834.932000004</v>
      </c>
      <c r="F75" s="276">
        <f>'2. KfW Loan Schedule'!G75</f>
        <v>-50984496.159999996</v>
      </c>
      <c r="G75" s="276">
        <f t="shared" si="3"/>
        <v>-87394331.092000008</v>
      </c>
      <c r="H75" s="2011">
        <f>-(G75+G76)</f>
        <v>173989916.01480001</v>
      </c>
      <c r="I75" s="1080"/>
      <c r="J75" s="2009">
        <f>J73+1</f>
        <v>2043</v>
      </c>
      <c r="K75" s="2011">
        <f>-(E75+E76)</f>
        <v>72488671.364800006</v>
      </c>
      <c r="L75" s="2011">
        <f>-(F75+F76)</f>
        <v>101501244.65000001</v>
      </c>
      <c r="N75" s="1092">
        <f>'2. KfW Loan Schedule'!J75</f>
        <v>46774767</v>
      </c>
    </row>
    <row r="76" spans="2:15" ht="15">
      <c r="B76" s="2009"/>
      <c r="C76" s="2010"/>
      <c r="D76" s="1079">
        <f t="shared" si="2"/>
        <v>72</v>
      </c>
      <c r="E76" s="276">
        <f>'1. World bank loan'!G76</f>
        <v>-36078836.432800002</v>
      </c>
      <c r="F76" s="276">
        <f>'2. KfW Loan Schedule'!G76</f>
        <v>-50516748.490000002</v>
      </c>
      <c r="G76" s="276">
        <f t="shared" si="3"/>
        <v>-86595584.922800004</v>
      </c>
      <c r="H76" s="2011"/>
      <c r="I76" s="1080"/>
      <c r="J76" s="2009"/>
      <c r="K76" s="2011"/>
      <c r="L76" s="2011"/>
      <c r="N76" s="1092">
        <f>'2. KfW Loan Schedule'!J76</f>
        <v>46774767</v>
      </c>
      <c r="O76" s="1092">
        <f>N75+N76</f>
        <v>93549534</v>
      </c>
    </row>
    <row r="77" spans="2:15" ht="15">
      <c r="B77" s="2009">
        <f>B75+1</f>
        <v>2044</v>
      </c>
      <c r="C77" s="2010">
        <v>37</v>
      </c>
      <c r="D77" s="1079">
        <f t="shared" si="2"/>
        <v>73</v>
      </c>
      <c r="E77" s="276">
        <f>'1. World bank loan'!G77</f>
        <v>-35747837.933600001</v>
      </c>
      <c r="F77" s="276">
        <f>'2. KfW Loan Schedule'!G77</f>
        <v>-50049000.82</v>
      </c>
      <c r="G77" s="276">
        <f t="shared" si="3"/>
        <v>-85796838.753600001</v>
      </c>
      <c r="H77" s="2011">
        <f>-(G77+G78)</f>
        <v>170794931.338</v>
      </c>
      <c r="I77" s="1080"/>
      <c r="J77" s="2009">
        <f>J75+1</f>
        <v>2044</v>
      </c>
      <c r="K77" s="2011">
        <f>-(E77+E78)</f>
        <v>71164677.368000001</v>
      </c>
      <c r="L77" s="2011">
        <f>-(F77+F78)</f>
        <v>99630253.969999999</v>
      </c>
      <c r="N77" s="1092">
        <f>'2. KfW Loan Schedule'!J77</f>
        <v>46774767</v>
      </c>
    </row>
    <row r="78" spans="2:15" ht="15">
      <c r="B78" s="2009"/>
      <c r="C78" s="2010"/>
      <c r="D78" s="1079">
        <f t="shared" si="2"/>
        <v>74</v>
      </c>
      <c r="E78" s="276">
        <f>'1. World bank loan'!G78</f>
        <v>-35416839.4344</v>
      </c>
      <c r="F78" s="276">
        <f>'2. KfW Loan Schedule'!G78</f>
        <v>-49581253.149999999</v>
      </c>
      <c r="G78" s="276">
        <f t="shared" si="3"/>
        <v>-84998092.584399998</v>
      </c>
      <c r="H78" s="2011"/>
      <c r="I78" s="1080"/>
      <c r="J78" s="2009"/>
      <c r="K78" s="2011"/>
      <c r="L78" s="2011"/>
      <c r="N78" s="1092">
        <f>'2. KfW Loan Schedule'!J78</f>
        <v>46774767</v>
      </c>
      <c r="O78" s="1092">
        <f>N77+N78</f>
        <v>93549534</v>
      </c>
    </row>
    <row r="79" spans="2:15" ht="15">
      <c r="B79" s="2009">
        <f>B77+1</f>
        <v>2045</v>
      </c>
      <c r="C79" s="2010">
        <v>38</v>
      </c>
      <c r="D79" s="1079">
        <f t="shared" si="2"/>
        <v>75</v>
      </c>
      <c r="E79" s="276">
        <f>'1. World bank loan'!G79</f>
        <v>-35085840.935200006</v>
      </c>
      <c r="F79" s="276">
        <f>'2. KfW Loan Schedule'!G79</f>
        <v>-49113505.479999997</v>
      </c>
      <c r="G79" s="276">
        <f t="shared" si="3"/>
        <v>-84199346.415199995</v>
      </c>
      <c r="H79" s="2011">
        <f>-(G79+G80)</f>
        <v>167599946.66119999</v>
      </c>
      <c r="I79" s="1080"/>
      <c r="J79" s="2009">
        <f>J77+1</f>
        <v>2045</v>
      </c>
      <c r="K79" s="2011">
        <f>-(E79+E80)</f>
        <v>69840683.37120001</v>
      </c>
      <c r="L79" s="2011">
        <f>-(F79+F80)</f>
        <v>97759263.289999992</v>
      </c>
      <c r="N79" s="1092">
        <f>'2. KfW Loan Schedule'!J79</f>
        <v>46774767</v>
      </c>
    </row>
    <row r="80" spans="2:15" ht="15">
      <c r="B80" s="2009"/>
      <c r="C80" s="2010"/>
      <c r="D80" s="1079">
        <f t="shared" si="2"/>
        <v>76</v>
      </c>
      <c r="E80" s="276">
        <f>'1. World bank loan'!G80</f>
        <v>-34754842.436000004</v>
      </c>
      <c r="F80" s="276">
        <f>'2. KfW Loan Schedule'!G80</f>
        <v>-48645757.810000002</v>
      </c>
      <c r="G80" s="276">
        <f t="shared" si="3"/>
        <v>-83400600.246000007</v>
      </c>
      <c r="H80" s="2011"/>
      <c r="I80" s="1080"/>
      <c r="J80" s="2009"/>
      <c r="K80" s="2011"/>
      <c r="L80" s="2011"/>
      <c r="N80" s="1092">
        <f>'2. KfW Loan Schedule'!J80</f>
        <v>46774767</v>
      </c>
      <c r="O80" s="1092">
        <f>N79+N80</f>
        <v>93549534</v>
      </c>
    </row>
    <row r="81" spans="1:43" ht="15">
      <c r="B81" s="2009">
        <f>B79+1</f>
        <v>2046</v>
      </c>
      <c r="C81" s="2010">
        <v>39</v>
      </c>
      <c r="D81" s="1079">
        <f t="shared" si="2"/>
        <v>77</v>
      </c>
      <c r="E81" s="276">
        <f>'1. World bank loan'!G81</f>
        <v>-34423843.936800003</v>
      </c>
      <c r="F81" s="276">
        <f>'2. KfW Loan Schedule'!G81</f>
        <v>-48178010.140000001</v>
      </c>
      <c r="G81" s="276">
        <f t="shared" si="3"/>
        <v>-82601854.076800004</v>
      </c>
      <c r="H81" s="2011">
        <f>-(G81+G82)</f>
        <v>164404961.9844</v>
      </c>
      <c r="I81" s="1080"/>
      <c r="J81" s="2009">
        <f>J79+1</f>
        <v>2046</v>
      </c>
      <c r="K81" s="2011">
        <f>-(E81+E82)</f>
        <v>68516689.374400005</v>
      </c>
      <c r="L81" s="2011">
        <f>-(F81+F82)</f>
        <v>95888272.609999999</v>
      </c>
      <c r="N81" s="1092">
        <f>'2. KfW Loan Schedule'!J81</f>
        <v>46774767</v>
      </c>
    </row>
    <row r="82" spans="1:43" ht="15">
      <c r="B82" s="2009"/>
      <c r="C82" s="2010"/>
      <c r="D82" s="1079">
        <f t="shared" si="2"/>
        <v>78</v>
      </c>
      <c r="E82" s="276">
        <f>'1. World bank loan'!G82</f>
        <v>-34092845.437600002</v>
      </c>
      <c r="F82" s="276">
        <f>'2. KfW Loan Schedule'!G82</f>
        <v>-47710262.469999999</v>
      </c>
      <c r="G82" s="276">
        <f t="shared" si="3"/>
        <v>-81803107.907600001</v>
      </c>
      <c r="H82" s="2011"/>
      <c r="I82" s="1080"/>
      <c r="J82" s="2009"/>
      <c r="K82" s="2011"/>
      <c r="L82" s="2011"/>
      <c r="N82" s="1092">
        <f>'2. KfW Loan Schedule'!J82</f>
        <v>46774767</v>
      </c>
      <c r="O82" s="1092">
        <f>N81+N82</f>
        <v>93549534</v>
      </c>
    </row>
    <row r="83" spans="1:43" ht="15">
      <c r="B83" s="2009">
        <f>B81+1</f>
        <v>2047</v>
      </c>
      <c r="C83" s="2010">
        <v>40</v>
      </c>
      <c r="D83" s="1079">
        <f t="shared" si="2"/>
        <v>79</v>
      </c>
      <c r="E83" s="276">
        <f>'1. World bank loan'!G83</f>
        <v>-33761846.9384</v>
      </c>
      <c r="F83" s="276">
        <f>'2. KfW Loan Schedule'!G83</f>
        <v>-47242514.799999997</v>
      </c>
      <c r="G83" s="276">
        <f t="shared" si="3"/>
        <v>-81004361.738399997</v>
      </c>
      <c r="H83" s="2011">
        <f>-(G83+G84)</f>
        <v>161209977.30760002</v>
      </c>
      <c r="I83" s="1080"/>
      <c r="J83" s="2009">
        <f>J81+1</f>
        <v>2047</v>
      </c>
      <c r="K83" s="2011">
        <f>-(E83+E84)</f>
        <v>67192695.377599999</v>
      </c>
      <c r="L83" s="2011">
        <f>-(F83+F84)</f>
        <v>94017281.930000007</v>
      </c>
      <c r="N83" s="1092">
        <f>'2. KfW Loan Schedule'!J83</f>
        <v>46774767</v>
      </c>
    </row>
    <row r="84" spans="1:43" ht="15">
      <c r="B84" s="2009"/>
      <c r="C84" s="2010"/>
      <c r="D84" s="1079">
        <f t="shared" si="2"/>
        <v>80</v>
      </c>
      <c r="E84" s="276">
        <f>'1. World bank loan'!G84</f>
        <v>-33430848.439200003</v>
      </c>
      <c r="F84" s="276">
        <f>'2. KfW Loan Schedule'!G84</f>
        <v>-46774767.130000003</v>
      </c>
      <c r="G84" s="276">
        <f t="shared" si="3"/>
        <v>-80205615.569200009</v>
      </c>
      <c r="H84" s="2011"/>
      <c r="I84" s="1080"/>
      <c r="J84" s="2009"/>
      <c r="K84" s="2011"/>
      <c r="L84" s="2011"/>
      <c r="N84" s="1092">
        <f>'2. KfW Loan Schedule'!J84</f>
        <v>46774767</v>
      </c>
      <c r="O84" s="1092">
        <f>N83+N84</f>
        <v>93549534</v>
      </c>
    </row>
    <row r="85" spans="1:43" ht="15">
      <c r="B85" s="2009">
        <f>B83+1</f>
        <v>2048</v>
      </c>
      <c r="C85" s="2010">
        <v>41</v>
      </c>
      <c r="D85" s="1079">
        <f t="shared" si="2"/>
        <v>81</v>
      </c>
      <c r="E85" s="276">
        <f>'1. World bank loan'!G85</f>
        <v>-1.9999999850988388E-2</v>
      </c>
      <c r="F85" s="276">
        <f>'2. KfW Loan Schedule'!G85</f>
        <v>0</v>
      </c>
      <c r="G85" s="276">
        <f t="shared" si="3"/>
        <v>-1.9999999850988388E-2</v>
      </c>
      <c r="H85" s="2011">
        <f>-(G85+G86)</f>
        <v>1.9999999850988388E-2</v>
      </c>
      <c r="I85" s="1080"/>
      <c r="J85" s="2009">
        <f>J83+1</f>
        <v>2048</v>
      </c>
    </row>
    <row r="86" spans="1:43" ht="15">
      <c r="B86" s="2009"/>
      <c r="C86" s="2010"/>
      <c r="D86" s="1079">
        <f t="shared" si="2"/>
        <v>82</v>
      </c>
      <c r="E86" s="276"/>
      <c r="F86" s="276"/>
      <c r="G86" s="276"/>
      <c r="H86" s="2011"/>
      <c r="I86" s="1080"/>
      <c r="J86" s="2009"/>
    </row>
    <row r="87" spans="1:43" ht="13.5" thickBot="1">
      <c r="B87" s="1086"/>
      <c r="C87" s="777"/>
      <c r="D87" s="777"/>
      <c r="E87" s="777"/>
      <c r="F87" s="777"/>
      <c r="G87" s="777"/>
      <c r="H87" s="777"/>
      <c r="I87" s="781"/>
    </row>
    <row r="89" spans="1:43" s="1088" customFormat="1">
      <c r="B89" s="1087">
        <v>2008</v>
      </c>
      <c r="C89" s="1087">
        <f>B89+1</f>
        <v>2009</v>
      </c>
      <c r="D89" s="1087">
        <f t="shared" ref="D89:AP89" si="4">C89+1</f>
        <v>2010</v>
      </c>
      <c r="E89" s="1087">
        <f t="shared" si="4"/>
        <v>2011</v>
      </c>
      <c r="F89" s="1087">
        <f t="shared" si="4"/>
        <v>2012</v>
      </c>
      <c r="G89" s="1087">
        <f t="shared" si="4"/>
        <v>2013</v>
      </c>
      <c r="H89" s="1087">
        <f t="shared" si="4"/>
        <v>2014</v>
      </c>
      <c r="I89" s="1087">
        <f t="shared" si="4"/>
        <v>2015</v>
      </c>
      <c r="J89" s="1087">
        <f t="shared" si="4"/>
        <v>2016</v>
      </c>
      <c r="K89" s="1087">
        <f t="shared" si="4"/>
        <v>2017</v>
      </c>
      <c r="L89" s="1087">
        <f t="shared" si="4"/>
        <v>2018</v>
      </c>
      <c r="M89" s="1087">
        <f t="shared" si="4"/>
        <v>2019</v>
      </c>
      <c r="N89" s="1087">
        <f t="shared" si="4"/>
        <v>2020</v>
      </c>
      <c r="O89" s="1087">
        <f t="shared" si="4"/>
        <v>2021</v>
      </c>
      <c r="P89" s="1087">
        <f t="shared" si="4"/>
        <v>2022</v>
      </c>
      <c r="Q89" s="1087">
        <f t="shared" si="4"/>
        <v>2023</v>
      </c>
      <c r="R89" s="1087">
        <f t="shared" si="4"/>
        <v>2024</v>
      </c>
      <c r="S89" s="1087">
        <f t="shared" si="4"/>
        <v>2025</v>
      </c>
      <c r="T89" s="1087">
        <f t="shared" si="4"/>
        <v>2026</v>
      </c>
      <c r="U89" s="1087">
        <f t="shared" si="4"/>
        <v>2027</v>
      </c>
      <c r="V89" s="1087">
        <f t="shared" si="4"/>
        <v>2028</v>
      </c>
      <c r="W89" s="1087">
        <f t="shared" si="4"/>
        <v>2029</v>
      </c>
      <c r="X89" s="1087">
        <f t="shared" si="4"/>
        <v>2030</v>
      </c>
      <c r="Y89" s="1087">
        <f t="shared" si="4"/>
        <v>2031</v>
      </c>
      <c r="Z89" s="1087">
        <f t="shared" si="4"/>
        <v>2032</v>
      </c>
      <c r="AA89" s="1087">
        <f t="shared" si="4"/>
        <v>2033</v>
      </c>
      <c r="AB89" s="1087">
        <f t="shared" si="4"/>
        <v>2034</v>
      </c>
      <c r="AC89" s="1087">
        <f t="shared" si="4"/>
        <v>2035</v>
      </c>
      <c r="AD89" s="1087">
        <f t="shared" si="4"/>
        <v>2036</v>
      </c>
      <c r="AE89" s="1087">
        <f t="shared" si="4"/>
        <v>2037</v>
      </c>
      <c r="AF89" s="1087">
        <f t="shared" si="4"/>
        <v>2038</v>
      </c>
      <c r="AG89" s="1087">
        <f t="shared" si="4"/>
        <v>2039</v>
      </c>
      <c r="AH89" s="1087">
        <f t="shared" si="4"/>
        <v>2040</v>
      </c>
      <c r="AI89" s="1087">
        <f t="shared" si="4"/>
        <v>2041</v>
      </c>
      <c r="AJ89" s="1087">
        <f t="shared" si="4"/>
        <v>2042</v>
      </c>
      <c r="AK89" s="1087">
        <f t="shared" si="4"/>
        <v>2043</v>
      </c>
      <c r="AL89" s="1087">
        <f t="shared" si="4"/>
        <v>2044</v>
      </c>
      <c r="AM89" s="1087">
        <f>AL89+1</f>
        <v>2045</v>
      </c>
      <c r="AN89" s="1087">
        <f t="shared" si="4"/>
        <v>2046</v>
      </c>
      <c r="AO89" s="1087">
        <f t="shared" si="4"/>
        <v>2047</v>
      </c>
      <c r="AP89" s="1087">
        <f t="shared" si="4"/>
        <v>2048</v>
      </c>
      <c r="AQ89" s="1087"/>
    </row>
    <row r="90" spans="1:43" s="1088" customFormat="1">
      <c r="B90" s="1089" t="s">
        <v>504</v>
      </c>
      <c r="C90" s="1089" t="s">
        <v>505</v>
      </c>
      <c r="D90" s="1089" t="s">
        <v>505</v>
      </c>
      <c r="E90" s="1089" t="s">
        <v>505</v>
      </c>
      <c r="F90" s="1089" t="s">
        <v>505</v>
      </c>
      <c r="G90" s="1089" t="s">
        <v>505</v>
      </c>
      <c r="H90" s="1089" t="s">
        <v>505</v>
      </c>
      <c r="I90" s="1089" t="s">
        <v>505</v>
      </c>
      <c r="J90" s="1089" t="s">
        <v>505</v>
      </c>
      <c r="K90" s="1089" t="s">
        <v>505</v>
      </c>
      <c r="L90" s="1089" t="s">
        <v>505</v>
      </c>
      <c r="M90" s="1089" t="s">
        <v>505</v>
      </c>
      <c r="N90" s="1089" t="s">
        <v>505</v>
      </c>
      <c r="O90" s="1089" t="s">
        <v>505</v>
      </c>
      <c r="P90" s="1089" t="s">
        <v>505</v>
      </c>
      <c r="Q90" s="1089" t="s">
        <v>505</v>
      </c>
      <c r="R90" s="1089" t="s">
        <v>505</v>
      </c>
      <c r="S90" s="1089" t="s">
        <v>505</v>
      </c>
      <c r="T90" s="1089" t="s">
        <v>505</v>
      </c>
      <c r="U90" s="1089" t="s">
        <v>505</v>
      </c>
      <c r="V90" s="1089" t="s">
        <v>505</v>
      </c>
      <c r="W90" s="1089" t="s">
        <v>505</v>
      </c>
      <c r="X90" s="1089" t="s">
        <v>505</v>
      </c>
      <c r="Y90" s="1089" t="s">
        <v>505</v>
      </c>
      <c r="Z90" s="1089" t="s">
        <v>505</v>
      </c>
      <c r="AA90" s="1089" t="s">
        <v>505</v>
      </c>
      <c r="AB90" s="1089" t="s">
        <v>505</v>
      </c>
      <c r="AC90" s="1089" t="s">
        <v>505</v>
      </c>
      <c r="AD90" s="1089" t="s">
        <v>505</v>
      </c>
      <c r="AE90" s="1089" t="s">
        <v>505</v>
      </c>
      <c r="AF90" s="1089" t="s">
        <v>505</v>
      </c>
      <c r="AG90" s="1089" t="s">
        <v>505</v>
      </c>
      <c r="AH90" s="1089" t="s">
        <v>505</v>
      </c>
      <c r="AI90" s="1089" t="s">
        <v>505</v>
      </c>
      <c r="AJ90" s="1089" t="s">
        <v>505</v>
      </c>
      <c r="AK90" s="1089" t="s">
        <v>505</v>
      </c>
      <c r="AL90" s="1089" t="s">
        <v>505</v>
      </c>
      <c r="AM90" s="1089" t="s">
        <v>505</v>
      </c>
      <c r="AN90" s="1089" t="s">
        <v>505</v>
      </c>
      <c r="AO90" s="1089" t="s">
        <v>505</v>
      </c>
      <c r="AP90" s="1089"/>
      <c r="AQ90" s="1089"/>
    </row>
    <row r="91" spans="1:43" s="1091" customFormat="1" ht="11.25">
      <c r="B91" s="1090">
        <f>H5</f>
        <v>10343393.76</v>
      </c>
      <c r="C91" s="1090">
        <f>H7</f>
        <v>21885642.579999998</v>
      </c>
      <c r="D91" s="1090">
        <f>H9</f>
        <v>38518906.760000005</v>
      </c>
      <c r="E91" s="1090">
        <f>H11</f>
        <v>53230707.100000001</v>
      </c>
      <c r="F91" s="1090">
        <f>H13</f>
        <v>63258452.060000002</v>
      </c>
      <c r="G91" s="1090">
        <f>H15</f>
        <v>69277831.349999994</v>
      </c>
      <c r="H91" s="1090">
        <f>H17</f>
        <v>74042319.200000003</v>
      </c>
      <c r="I91" s="1090">
        <f>H19</f>
        <v>78708157.760000005</v>
      </c>
      <c r="J91" s="1090">
        <f>H21</f>
        <v>74391794.680000007</v>
      </c>
      <c r="K91" s="1090">
        <f>H23</f>
        <v>79874617.400000006</v>
      </c>
      <c r="L91" s="1093">
        <f>H25</f>
        <v>159349862.2304</v>
      </c>
      <c r="M91" s="1090">
        <f>H27</f>
        <v>157752369.87200001</v>
      </c>
      <c r="N91" s="1090">
        <f>H29</f>
        <v>156154877.51359999</v>
      </c>
      <c r="O91" s="1090">
        <f>H31</f>
        <v>154557385.1552</v>
      </c>
      <c r="P91" s="1090">
        <f>H33</f>
        <v>152959892.79680002</v>
      </c>
      <c r="Q91" s="1090">
        <f>H35</f>
        <v>151362400.4384</v>
      </c>
      <c r="R91" s="1090">
        <f>H37</f>
        <v>149764908.08000001</v>
      </c>
      <c r="S91" s="1090">
        <f>H39</f>
        <v>148167415.7216</v>
      </c>
      <c r="T91" s="1090">
        <f>H41</f>
        <v>146569923.36320001</v>
      </c>
      <c r="U91" s="1090">
        <f>H43</f>
        <v>191513323.17479998</v>
      </c>
      <c r="V91" s="1090">
        <f>H45</f>
        <v>221914686.16680002</v>
      </c>
      <c r="W91" s="1090">
        <f>H47</f>
        <v>218719701.49000001</v>
      </c>
      <c r="X91" s="1090">
        <f>H49</f>
        <v>215524716.8132</v>
      </c>
      <c r="Y91" s="1090">
        <f>H51</f>
        <v>212329732.13639998</v>
      </c>
      <c r="Z91" s="1090">
        <f>H53</f>
        <v>209134747.4596</v>
      </c>
      <c r="AA91" s="1090">
        <f>H55</f>
        <v>205939762.78280002</v>
      </c>
      <c r="AB91" s="1090">
        <f>H57</f>
        <v>202744778.10600001</v>
      </c>
      <c r="AC91" s="1090">
        <f>H59</f>
        <v>199549793.42919999</v>
      </c>
      <c r="AD91" s="1090">
        <f>H61</f>
        <v>196354808.75239998</v>
      </c>
      <c r="AE91" s="1090">
        <f>H63</f>
        <v>193159824.07560003</v>
      </c>
      <c r="AF91" s="1090">
        <f>H65</f>
        <v>189964839.39880002</v>
      </c>
      <c r="AG91" s="1090">
        <f>H67</f>
        <v>186769854.722</v>
      </c>
      <c r="AH91" s="1090">
        <f>H69</f>
        <v>183574870.04519999</v>
      </c>
      <c r="AI91" s="1090">
        <f>H71</f>
        <v>180379885.36840001</v>
      </c>
      <c r="AJ91" s="1090">
        <f>H73</f>
        <v>177184900.69160002</v>
      </c>
      <c r="AK91" s="1090">
        <f>H75</f>
        <v>173989916.01480001</v>
      </c>
      <c r="AL91" s="1090">
        <f>H77</f>
        <v>170794931.338</v>
      </c>
      <c r="AM91" s="1090">
        <f>H79</f>
        <v>167599946.66119999</v>
      </c>
      <c r="AN91" s="1090">
        <f>H81</f>
        <v>164404961.9844</v>
      </c>
      <c r="AO91" s="1090">
        <f>H83</f>
        <v>161209977.30760002</v>
      </c>
      <c r="AP91" s="1090">
        <f>H85</f>
        <v>1.9999999850988388E-2</v>
      </c>
      <c r="AQ91" s="1090"/>
    </row>
    <row r="95" spans="1:43">
      <c r="A95" s="763" t="s">
        <v>580</v>
      </c>
      <c r="B95" s="1084">
        <f>K5+L5</f>
        <v>10343393.76</v>
      </c>
      <c r="C95" s="1084">
        <f>K7+L7</f>
        <v>21885642.579999998</v>
      </c>
      <c r="D95" s="1084">
        <f>K9+L9</f>
        <v>38518906.760000005</v>
      </c>
      <c r="E95" s="1084">
        <f>K11+L11</f>
        <v>53230707.100000009</v>
      </c>
      <c r="F95" s="1084">
        <f>K13+L13</f>
        <v>63258452.060000002</v>
      </c>
      <c r="G95" s="1084">
        <f>K15+L15</f>
        <v>69277831.349999994</v>
      </c>
      <c r="H95" s="1084">
        <f>K17+L17</f>
        <v>74042319.200000003</v>
      </c>
      <c r="I95" s="1084">
        <f>K19+L19</f>
        <v>78708157.75999999</v>
      </c>
      <c r="J95" s="1084">
        <f>K21+L21</f>
        <v>74391794.680000007</v>
      </c>
      <c r="K95" s="1084">
        <f>K23+L23</f>
        <v>79874617.400000006</v>
      </c>
      <c r="L95" s="1084">
        <f>K25+L25</f>
        <v>159349862.2304</v>
      </c>
      <c r="M95" s="1084">
        <f>K27+L27</f>
        <v>157752369.87200001</v>
      </c>
      <c r="N95" s="1084">
        <f>K29+L29</f>
        <v>156154877.51359999</v>
      </c>
      <c r="O95" s="1084">
        <f>K31+L31</f>
        <v>154557385.1552</v>
      </c>
      <c r="P95" s="1084">
        <f>K33+L33</f>
        <v>152959892.79680002</v>
      </c>
      <c r="Q95" s="1084">
        <f>K35+L35</f>
        <v>151362400.43839997</v>
      </c>
      <c r="R95" s="1084">
        <f>K37+L37</f>
        <v>149764908.07999998</v>
      </c>
      <c r="S95" s="1084">
        <f>K39+L39</f>
        <v>148167415.7216</v>
      </c>
      <c r="T95" s="1084">
        <f>K41+L41</f>
        <v>146569923.36320001</v>
      </c>
      <c r="U95" s="1084">
        <f>K43+L43</f>
        <v>191513323.17480001</v>
      </c>
      <c r="V95" s="1084">
        <f>K45+L45</f>
        <v>221914686.16680002</v>
      </c>
      <c r="W95" s="1084">
        <f>K47+L47</f>
        <v>218719701.49000001</v>
      </c>
      <c r="X95" s="1084">
        <f>K49+L49</f>
        <v>215524716.8132</v>
      </c>
      <c r="Y95" s="1084">
        <f>K51+L51</f>
        <v>212329732.13640001</v>
      </c>
      <c r="Z95" s="1084">
        <f t="shared" ref="Z95:AO95" si="5">AI5+AJ5</f>
        <v>0</v>
      </c>
      <c r="AA95" s="1084">
        <f t="shared" si="5"/>
        <v>0</v>
      </c>
      <c r="AB95" s="1084">
        <f t="shared" si="5"/>
        <v>0</v>
      </c>
      <c r="AC95" s="1084">
        <f t="shared" si="5"/>
        <v>0</v>
      </c>
      <c r="AD95" s="1084">
        <f t="shared" si="5"/>
        <v>0</v>
      </c>
      <c r="AE95" s="1084">
        <f t="shared" si="5"/>
        <v>0</v>
      </c>
      <c r="AF95" s="1084">
        <f t="shared" si="5"/>
        <v>0</v>
      </c>
      <c r="AG95" s="1084">
        <f t="shared" si="5"/>
        <v>0</v>
      </c>
      <c r="AH95" s="1084">
        <f t="shared" si="5"/>
        <v>0</v>
      </c>
      <c r="AI95" s="1084">
        <f t="shared" si="5"/>
        <v>0</v>
      </c>
      <c r="AJ95" s="1084">
        <f t="shared" si="5"/>
        <v>0</v>
      </c>
      <c r="AK95" s="1084">
        <f t="shared" si="5"/>
        <v>0</v>
      </c>
      <c r="AL95" s="1084">
        <f t="shared" si="5"/>
        <v>0</v>
      </c>
      <c r="AM95" s="1084">
        <f t="shared" si="5"/>
        <v>0</v>
      </c>
      <c r="AN95" s="1084">
        <f t="shared" si="5"/>
        <v>0</v>
      </c>
      <c r="AO95" s="1084">
        <f t="shared" si="5"/>
        <v>0</v>
      </c>
    </row>
    <row r="96" spans="1:43">
      <c r="A96" s="763" t="s">
        <v>423</v>
      </c>
      <c r="L96" s="1092">
        <f>O26</f>
        <v>46774768</v>
      </c>
      <c r="M96" s="1092">
        <f>O28</f>
        <v>46774768</v>
      </c>
      <c r="N96" s="1092">
        <f>O30</f>
        <v>46774768</v>
      </c>
      <c r="O96" s="1092">
        <f>O32</f>
        <v>46774768</v>
      </c>
      <c r="P96" s="1092">
        <f>O34</f>
        <v>46774768</v>
      </c>
      <c r="Q96" s="1092">
        <f>O36</f>
        <v>46774768</v>
      </c>
      <c r="R96" s="1092">
        <f>O38</f>
        <v>46774768</v>
      </c>
      <c r="S96" s="1092">
        <f>O40</f>
        <v>46774768</v>
      </c>
      <c r="T96" s="1092">
        <f>O42</f>
        <v>46774768</v>
      </c>
      <c r="U96" s="1092">
        <f>O44</f>
        <v>93549534</v>
      </c>
      <c r="V96" s="1092">
        <f>O46</f>
        <v>93549534</v>
      </c>
      <c r="W96" s="1092">
        <f>O48</f>
        <v>93549534</v>
      </c>
      <c r="X96" s="1092">
        <f>O50</f>
        <v>93549534</v>
      </c>
    </row>
  </sheetData>
  <mergeCells count="244">
    <mergeCell ref="L83:L84"/>
    <mergeCell ref="L65:L66"/>
    <mergeCell ref="L67:L68"/>
    <mergeCell ref="L69:L70"/>
    <mergeCell ref="L71:L72"/>
    <mergeCell ref="L73:L74"/>
    <mergeCell ref="L75:L76"/>
    <mergeCell ref="L77:L78"/>
    <mergeCell ref="L79:L80"/>
    <mergeCell ref="L81:L82"/>
    <mergeCell ref="L47:L48"/>
    <mergeCell ref="L49:L50"/>
    <mergeCell ref="L51:L52"/>
    <mergeCell ref="L53:L54"/>
    <mergeCell ref="L55:L56"/>
    <mergeCell ref="L57:L58"/>
    <mergeCell ref="L59:L60"/>
    <mergeCell ref="L61:L62"/>
    <mergeCell ref="L63:L64"/>
    <mergeCell ref="J81:J82"/>
    <mergeCell ref="J83:J84"/>
    <mergeCell ref="J85:J86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J63:J64"/>
    <mergeCell ref="J65:J66"/>
    <mergeCell ref="J67:J68"/>
    <mergeCell ref="J69:J70"/>
    <mergeCell ref="J71:J72"/>
    <mergeCell ref="J73:J74"/>
    <mergeCell ref="J75:J76"/>
    <mergeCell ref="J77:J78"/>
    <mergeCell ref="J79:J80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K77:K78"/>
    <mergeCell ref="K79:K80"/>
    <mergeCell ref="K81:K82"/>
    <mergeCell ref="K83:K8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K59:K60"/>
    <mergeCell ref="K61:K62"/>
    <mergeCell ref="K63:K64"/>
    <mergeCell ref="K65:K66"/>
    <mergeCell ref="K67:K68"/>
    <mergeCell ref="K69:K70"/>
    <mergeCell ref="K71:K72"/>
    <mergeCell ref="K73:K74"/>
    <mergeCell ref="K75:K76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B85:B86"/>
    <mergeCell ref="C85:C86"/>
    <mergeCell ref="H85:H86"/>
    <mergeCell ref="B81:B82"/>
    <mergeCell ref="C81:C82"/>
    <mergeCell ref="H81:H82"/>
    <mergeCell ref="B83:B84"/>
    <mergeCell ref="C83:C84"/>
    <mergeCell ref="H83:H84"/>
    <mergeCell ref="B77:B78"/>
    <mergeCell ref="C77:C78"/>
    <mergeCell ref="H77:H78"/>
    <mergeCell ref="B79:B80"/>
    <mergeCell ref="C79:C80"/>
    <mergeCell ref="H79:H80"/>
    <mergeCell ref="B73:B74"/>
    <mergeCell ref="C73:C74"/>
    <mergeCell ref="H73:H74"/>
    <mergeCell ref="B75:B76"/>
    <mergeCell ref="C75:C76"/>
    <mergeCell ref="H75:H76"/>
    <mergeCell ref="B69:B70"/>
    <mergeCell ref="C69:C70"/>
    <mergeCell ref="H69:H70"/>
    <mergeCell ref="B71:B72"/>
    <mergeCell ref="C71:C72"/>
    <mergeCell ref="H71:H72"/>
    <mergeCell ref="B65:B66"/>
    <mergeCell ref="C65:C66"/>
    <mergeCell ref="H65:H66"/>
    <mergeCell ref="B67:B68"/>
    <mergeCell ref="C67:C68"/>
    <mergeCell ref="H67:H68"/>
    <mergeCell ref="B61:B62"/>
    <mergeCell ref="C61:C62"/>
    <mergeCell ref="H61:H62"/>
    <mergeCell ref="B63:B64"/>
    <mergeCell ref="C63:C64"/>
    <mergeCell ref="H63:H64"/>
    <mergeCell ref="B57:B58"/>
    <mergeCell ref="C57:C58"/>
    <mergeCell ref="H57:H58"/>
    <mergeCell ref="B59:B60"/>
    <mergeCell ref="C59:C60"/>
    <mergeCell ref="H59:H60"/>
    <mergeCell ref="B53:B54"/>
    <mergeCell ref="C53:C54"/>
    <mergeCell ref="H53:H54"/>
    <mergeCell ref="B55:B56"/>
    <mergeCell ref="C55:C56"/>
    <mergeCell ref="H55:H56"/>
    <mergeCell ref="B49:B50"/>
    <mergeCell ref="C49:C50"/>
    <mergeCell ref="H49:H50"/>
    <mergeCell ref="B51:B52"/>
    <mergeCell ref="C51:C52"/>
    <mergeCell ref="H51:H52"/>
    <mergeCell ref="B45:B46"/>
    <mergeCell ref="C45:C46"/>
    <mergeCell ref="H45:H46"/>
    <mergeCell ref="B47:B48"/>
    <mergeCell ref="C47:C48"/>
    <mergeCell ref="H47:H48"/>
    <mergeCell ref="B41:B42"/>
    <mergeCell ref="C41:C42"/>
    <mergeCell ref="H41:H42"/>
    <mergeCell ref="B43:B44"/>
    <mergeCell ref="C43:C44"/>
    <mergeCell ref="H43:H44"/>
    <mergeCell ref="B37:B38"/>
    <mergeCell ref="C37:C38"/>
    <mergeCell ref="H37:H38"/>
    <mergeCell ref="B39:B40"/>
    <mergeCell ref="C39:C40"/>
    <mergeCell ref="H39:H40"/>
    <mergeCell ref="B33:B34"/>
    <mergeCell ref="C33:C34"/>
    <mergeCell ref="H33:H34"/>
    <mergeCell ref="B35:B36"/>
    <mergeCell ref="C35:C36"/>
    <mergeCell ref="H35:H36"/>
    <mergeCell ref="B29:B30"/>
    <mergeCell ref="C29:C30"/>
    <mergeCell ref="H29:H30"/>
    <mergeCell ref="B31:B32"/>
    <mergeCell ref="C31:C32"/>
    <mergeCell ref="H31:H32"/>
    <mergeCell ref="B25:B26"/>
    <mergeCell ref="C25:C26"/>
    <mergeCell ref="H25:H26"/>
    <mergeCell ref="B27:B28"/>
    <mergeCell ref="C27:C28"/>
    <mergeCell ref="H27:H28"/>
    <mergeCell ref="B21:B22"/>
    <mergeCell ref="C21:C22"/>
    <mergeCell ref="H21:H22"/>
    <mergeCell ref="B23:B24"/>
    <mergeCell ref="C23:C24"/>
    <mergeCell ref="H23:H24"/>
    <mergeCell ref="B17:B18"/>
    <mergeCell ref="C17:C18"/>
    <mergeCell ref="H17:H18"/>
    <mergeCell ref="B19:B20"/>
    <mergeCell ref="C19:C20"/>
    <mergeCell ref="H19:H20"/>
    <mergeCell ref="B15:B16"/>
    <mergeCell ref="C15:C16"/>
    <mergeCell ref="H15:H16"/>
    <mergeCell ref="B9:B10"/>
    <mergeCell ref="C9:C10"/>
    <mergeCell ref="H9:H10"/>
    <mergeCell ref="B11:B12"/>
    <mergeCell ref="C11:C12"/>
    <mergeCell ref="H11:H12"/>
    <mergeCell ref="B5:B6"/>
    <mergeCell ref="C5:C6"/>
    <mergeCell ref="H5:H6"/>
    <mergeCell ref="B7:B8"/>
    <mergeCell ref="C7:C8"/>
    <mergeCell ref="H7:H8"/>
    <mergeCell ref="B13:B14"/>
    <mergeCell ref="C13:C14"/>
    <mergeCell ref="H13:H14"/>
  </mergeCells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N61"/>
  <sheetViews>
    <sheetView topLeftCell="B1" zoomScale="110" zoomScaleNormal="110" zoomScaleSheetLayoutView="84" workbookViewId="0">
      <selection activeCell="D58" sqref="D58"/>
    </sheetView>
  </sheetViews>
  <sheetFormatPr defaultRowHeight="15"/>
  <cols>
    <col min="1" max="1" width="5.42578125" customWidth="1"/>
    <col min="3" max="3" width="23.28515625" customWidth="1"/>
    <col min="4" max="4" width="54.28515625" customWidth="1"/>
    <col min="5" max="5" width="19.85546875" customWidth="1"/>
    <col min="6" max="6" width="17" customWidth="1"/>
    <col min="7" max="7" width="17.7109375" customWidth="1"/>
    <col min="8" max="8" width="18" customWidth="1"/>
    <col min="9" max="9" width="18.42578125" customWidth="1"/>
    <col min="10" max="10" width="17.5703125" customWidth="1"/>
    <col min="11" max="11" width="15.7109375" bestFit="1" customWidth="1"/>
    <col min="12" max="12" width="17.5703125" customWidth="1"/>
    <col min="14" max="14" width="15" customWidth="1"/>
  </cols>
  <sheetData>
    <row r="1" spans="3:9">
      <c r="D1" s="62" t="s">
        <v>558</v>
      </c>
    </row>
    <row r="2" spans="3:9">
      <c r="D2" s="291" t="s">
        <v>557</v>
      </c>
      <c r="E2">
        <f>E13</f>
        <v>2022</v>
      </c>
      <c r="F2">
        <f>F13</f>
        <v>2023</v>
      </c>
      <c r="G2">
        <f>G13</f>
        <v>2024</v>
      </c>
      <c r="H2">
        <f>H13</f>
        <v>2025</v>
      </c>
      <c r="I2">
        <f>I13</f>
        <v>2026</v>
      </c>
    </row>
    <row r="3" spans="3:9">
      <c r="C3" s="2036" t="s">
        <v>605</v>
      </c>
      <c r="D3" s="366" t="str">
        <f t="shared" ref="D3:D8" si="0">D14</f>
        <v>To Increase water production and supply</v>
      </c>
      <c r="E3" s="367">
        <f>E14*$N$22</f>
        <v>1000000</v>
      </c>
      <c r="F3" s="367">
        <f>(E14+F14)*$N$22</f>
        <v>2000000</v>
      </c>
      <c r="G3" s="367">
        <f>(E14+F14+G14)*N22</f>
        <v>3000000</v>
      </c>
      <c r="H3" s="367">
        <f>(E14+G14+F14+H14)*N22</f>
        <v>4000000</v>
      </c>
      <c r="I3" s="368">
        <f>(E14+F14+G14+H14+I14)*N22</f>
        <v>11000000</v>
      </c>
    </row>
    <row r="4" spans="3:9">
      <c r="C4" s="2036"/>
      <c r="D4" s="366" t="str">
        <f t="shared" si="0"/>
        <v>To increase sanitation coverage</v>
      </c>
      <c r="E4" s="367">
        <f>E15*$N$22</f>
        <v>500000</v>
      </c>
      <c r="F4" s="367">
        <f>(E15+F15)*$N$22</f>
        <v>1000000</v>
      </c>
      <c r="G4" s="367">
        <f>(E15+F15+G15)*N22</f>
        <v>1500000</v>
      </c>
      <c r="H4" s="367">
        <f>(E15+G15+F15+H15)*N22</f>
        <v>2000000</v>
      </c>
      <c r="I4" s="368">
        <f>(E15+F15+G15+H15+I15)*N22</f>
        <v>8000000</v>
      </c>
    </row>
    <row r="5" spans="3:9">
      <c r="C5" s="2036"/>
      <c r="D5" s="366" t="str">
        <f t="shared" si="0"/>
        <v>Reduce operational costs/ Solarization</v>
      </c>
      <c r="E5" s="367">
        <f>E16*$N$22</f>
        <v>500000</v>
      </c>
      <c r="F5" s="367">
        <f>(E16+F16)*$N$22</f>
        <v>1000000</v>
      </c>
      <c r="G5" s="367">
        <f>(E16+F16+G16)*N22</f>
        <v>1500000</v>
      </c>
      <c r="H5" s="367">
        <f>(E16+G16+F16+H16)*N22</f>
        <v>2000000</v>
      </c>
      <c r="I5" s="368">
        <f>(E16+F16+G16+H16+I16)*N22</f>
        <v>2000000</v>
      </c>
    </row>
    <row r="6" spans="3:9">
      <c r="C6" s="2036"/>
      <c r="D6" s="366" t="str">
        <f t="shared" si="0"/>
        <v>Reduction of NRW</v>
      </c>
      <c r="E6" s="367">
        <f>E17*$N$22</f>
        <v>3400000</v>
      </c>
      <c r="F6" s="367">
        <f>(E17+F17)*$N$22</f>
        <v>7300000</v>
      </c>
      <c r="G6" s="367">
        <f>(E17+F17+G17)*N22</f>
        <v>11000000</v>
      </c>
      <c r="H6" s="367">
        <f>(E17+G17+F17+H17)*N22</f>
        <v>13500000</v>
      </c>
      <c r="I6" s="368">
        <f>(E17+F17+G17+H17+I17)*N22</f>
        <v>15500000</v>
      </c>
    </row>
    <row r="7" spans="3:9">
      <c r="C7" s="2036"/>
      <c r="D7" s="366" t="str">
        <f t="shared" si="0"/>
        <v>To enhance water quality and sewer effluent quality</v>
      </c>
      <c r="E7" s="367">
        <f>E18*$N$22</f>
        <v>500000</v>
      </c>
      <c r="F7" s="367">
        <f>(E18+F18)*N25</f>
        <v>400000</v>
      </c>
      <c r="G7" s="367">
        <f>(E18+F18+G18)*N25</f>
        <v>600000</v>
      </c>
      <c r="H7" s="367">
        <f>(E18+G18+F18+H18)*N25</f>
        <v>800000</v>
      </c>
      <c r="I7" s="368">
        <f>(E18+F18+G18+H18+I18)*N25</f>
        <v>1000000</v>
      </c>
    </row>
    <row r="8" spans="3:9">
      <c r="C8" s="2036"/>
      <c r="D8" s="366" t="str">
        <f t="shared" si="0"/>
        <v>Total Internal Investments cost</v>
      </c>
      <c r="E8" s="366"/>
      <c r="F8" s="366"/>
      <c r="G8" s="366"/>
      <c r="H8" s="366"/>
      <c r="I8" s="366"/>
    </row>
    <row r="9" spans="3:9" ht="18.75">
      <c r="E9" s="293">
        <f>SUM(E3:E8)</f>
        <v>5900000</v>
      </c>
      <c r="F9" s="293">
        <f>SUM(F3:F8)</f>
        <v>11700000</v>
      </c>
      <c r="G9" s="293">
        <f>SUM(G3:G8)</f>
        <v>17600000</v>
      </c>
      <c r="H9" s="293">
        <f>SUM(H3:H8)</f>
        <v>22300000</v>
      </c>
      <c r="I9" s="293">
        <f>SUM(I3:I8)</f>
        <v>37500000</v>
      </c>
    </row>
    <row r="12" spans="3:9" ht="15.75" thickBot="1"/>
    <row r="13" spans="3:9" ht="15.75" thickBot="1">
      <c r="D13" s="336" t="s">
        <v>557</v>
      </c>
      <c r="E13" s="337">
        <f>E21</f>
        <v>2022</v>
      </c>
      <c r="F13" s="337">
        <f>F21</f>
        <v>2023</v>
      </c>
      <c r="G13" s="337">
        <f>G21</f>
        <v>2024</v>
      </c>
      <c r="H13" s="337">
        <f>H21</f>
        <v>2025</v>
      </c>
      <c r="I13" s="338">
        <f>I21</f>
        <v>2026</v>
      </c>
    </row>
    <row r="14" spans="3:9">
      <c r="C14" s="421" t="s">
        <v>1002</v>
      </c>
      <c r="D14" s="1598" t="str">
        <f t="shared" ref="D14:D19" si="1">D22</f>
        <v>To Increase water production and supply</v>
      </c>
      <c r="E14" s="334">
        <f>E22*$J$20</f>
        <v>10000000</v>
      </c>
      <c r="F14" s="334">
        <f>F22*$J$20</f>
        <v>10000000</v>
      </c>
      <c r="G14" s="334">
        <f>G22*$J$20</f>
        <v>10000000</v>
      </c>
      <c r="H14" s="334">
        <f>H22*$J$20</f>
        <v>10000000</v>
      </c>
      <c r="I14" s="335">
        <f>I22*$J$20</f>
        <v>70000000</v>
      </c>
    </row>
    <row r="15" spans="3:9">
      <c r="D15" s="331" t="str">
        <f t="shared" si="1"/>
        <v>To increase sanitation coverage</v>
      </c>
      <c r="E15" s="161">
        <f t="shared" ref="E15:I18" si="2">E23*$J$20</f>
        <v>5000000</v>
      </c>
      <c r="F15" s="161">
        <f t="shared" si="2"/>
        <v>5000000</v>
      </c>
      <c r="G15" s="161">
        <f t="shared" si="2"/>
        <v>5000000</v>
      </c>
      <c r="H15" s="161">
        <f t="shared" si="2"/>
        <v>5000000</v>
      </c>
      <c r="I15" s="332">
        <f t="shared" si="2"/>
        <v>60000000</v>
      </c>
    </row>
    <row r="16" spans="3:9">
      <c r="D16" s="331" t="str">
        <f t="shared" si="1"/>
        <v>Reduce operational costs/ Solarization</v>
      </c>
      <c r="E16" s="161">
        <f t="shared" si="2"/>
        <v>5000000</v>
      </c>
      <c r="F16" s="161">
        <f t="shared" si="2"/>
        <v>5000000</v>
      </c>
      <c r="G16" s="161">
        <f t="shared" si="2"/>
        <v>5000000</v>
      </c>
      <c r="H16" s="161">
        <f t="shared" si="2"/>
        <v>5000000</v>
      </c>
      <c r="I16" s="332">
        <f t="shared" si="2"/>
        <v>0</v>
      </c>
    </row>
    <row r="17" spans="2:14">
      <c r="D17" s="331" t="str">
        <f t="shared" si="1"/>
        <v>Reduction of NRW</v>
      </c>
      <c r="E17" s="161">
        <f>E25*$J$20</f>
        <v>34000000</v>
      </c>
      <c r="F17" s="161">
        <f>F25*$J$20</f>
        <v>39000000</v>
      </c>
      <c r="G17" s="161">
        <f>G25*$J$20</f>
        <v>37000000</v>
      </c>
      <c r="H17" s="161">
        <f>H25*$J$20</f>
        <v>25000000</v>
      </c>
      <c r="I17" s="332">
        <f>I25*$J$20</f>
        <v>20000000</v>
      </c>
      <c r="J17" s="240">
        <f>SUM(E17:I17)</f>
        <v>155000000</v>
      </c>
    </row>
    <row r="18" spans="2:14" ht="15.75" thickBot="1">
      <c r="D18" s="331" t="str">
        <f t="shared" si="1"/>
        <v>To enhance water quality and sewer effluent quality</v>
      </c>
      <c r="E18" s="161">
        <f t="shared" si="2"/>
        <v>5000000</v>
      </c>
      <c r="F18" s="161">
        <f t="shared" si="2"/>
        <v>5000000</v>
      </c>
      <c r="G18" s="161">
        <f t="shared" si="2"/>
        <v>5000000</v>
      </c>
      <c r="H18" s="161">
        <f t="shared" si="2"/>
        <v>5000000</v>
      </c>
      <c r="I18" s="332">
        <f t="shared" si="2"/>
        <v>5000000</v>
      </c>
    </row>
    <row r="19" spans="2:14" ht="15.75" thickBot="1">
      <c r="D19" s="336" t="str">
        <f t="shared" si="1"/>
        <v>Total Internal Investments cost</v>
      </c>
      <c r="E19" s="345">
        <f>SUM(E14:E18)</f>
        <v>59000000</v>
      </c>
      <c r="F19" s="345">
        <f>SUM(F14:F18)</f>
        <v>64000000</v>
      </c>
      <c r="G19" s="345">
        <f>SUM(G14:G18)</f>
        <v>62000000</v>
      </c>
      <c r="H19" s="345">
        <f>SUM(H14:H18)</f>
        <v>50000000</v>
      </c>
      <c r="I19" s="346">
        <f>SUM(I14:I18)</f>
        <v>155000000</v>
      </c>
    </row>
    <row r="20" spans="2:14" ht="15.75" thickBot="1">
      <c r="H20" s="145"/>
      <c r="J20" s="145">
        <v>1000000</v>
      </c>
      <c r="N20" t="s">
        <v>563</v>
      </c>
    </row>
    <row r="21" spans="2:14" ht="30.75" thickBot="1">
      <c r="C21" s="340"/>
      <c r="D21" s="337" t="s">
        <v>557</v>
      </c>
      <c r="E21" s="341">
        <v>2022</v>
      </c>
      <c r="F21" s="337">
        <v>2023</v>
      </c>
      <c r="G21" s="337">
        <v>2024</v>
      </c>
      <c r="H21" s="337">
        <v>2025</v>
      </c>
      <c r="I21" s="338">
        <v>2026</v>
      </c>
      <c r="L21" s="290" t="s">
        <v>559</v>
      </c>
      <c r="N21" s="195">
        <v>0.02</v>
      </c>
    </row>
    <row r="22" spans="2:14" ht="30">
      <c r="C22" s="333">
        <v>1</v>
      </c>
      <c r="D22" s="78" t="str">
        <f>C34</f>
        <v>To Increase water production and supply</v>
      </c>
      <c r="E22" s="339">
        <f>E37</f>
        <v>10</v>
      </c>
      <c r="F22" s="339">
        <f>F37</f>
        <v>10</v>
      </c>
      <c r="G22" s="339">
        <f>G37</f>
        <v>10</v>
      </c>
      <c r="H22" s="339">
        <f>H37</f>
        <v>10</v>
      </c>
      <c r="I22" s="342">
        <f>I37+I38+I39</f>
        <v>70</v>
      </c>
      <c r="L22" s="290" t="s">
        <v>560</v>
      </c>
      <c r="N22" s="195">
        <v>0.1</v>
      </c>
    </row>
    <row r="23" spans="2:14">
      <c r="C23" s="331">
        <v>2</v>
      </c>
      <c r="D23" s="26" t="str">
        <f>C41</f>
        <v>To increase sanitation coverage</v>
      </c>
      <c r="E23" s="26">
        <f>E42</f>
        <v>5</v>
      </c>
      <c r="F23" s="26">
        <f>F42</f>
        <v>5</v>
      </c>
      <c r="G23" s="26">
        <f>G42</f>
        <v>5</v>
      </c>
      <c r="H23" s="26">
        <f>H42</f>
        <v>5</v>
      </c>
      <c r="I23" s="128">
        <f>I42+I44+I45</f>
        <v>60</v>
      </c>
      <c r="L23" t="s">
        <v>561</v>
      </c>
      <c r="N23" s="195">
        <v>0.25</v>
      </c>
    </row>
    <row r="24" spans="2:14">
      <c r="C24" s="331">
        <v>3</v>
      </c>
      <c r="D24" s="26" t="str">
        <f>C47</f>
        <v>Reduce operational costs/ Solarization</v>
      </c>
      <c r="E24" s="26">
        <f>E48</f>
        <v>5</v>
      </c>
      <c r="F24" s="26">
        <f>F48</f>
        <v>5</v>
      </c>
      <c r="G24" s="26">
        <f>G48</f>
        <v>5</v>
      </c>
      <c r="H24" s="26">
        <f>H48</f>
        <v>5</v>
      </c>
      <c r="I24" s="128">
        <f>I48</f>
        <v>0</v>
      </c>
      <c r="L24" t="s">
        <v>562</v>
      </c>
      <c r="N24" s="275">
        <v>0.33300000000000002</v>
      </c>
    </row>
    <row r="25" spans="2:14">
      <c r="C25" s="331">
        <v>4</v>
      </c>
      <c r="D25" s="26" t="str">
        <f>C50</f>
        <v>Reduction of NRW</v>
      </c>
      <c r="E25" s="155">
        <f>E56-9</f>
        <v>34</v>
      </c>
      <c r="F25" s="155">
        <f>F56-9</f>
        <v>39</v>
      </c>
      <c r="G25" s="155">
        <f>G56-12</f>
        <v>37</v>
      </c>
      <c r="H25" s="155">
        <f>H56-15</f>
        <v>25</v>
      </c>
      <c r="I25" s="343">
        <f>I56-15</f>
        <v>20</v>
      </c>
      <c r="L25" t="s">
        <v>564</v>
      </c>
      <c r="N25" s="195">
        <v>0.04</v>
      </c>
    </row>
    <row r="26" spans="2:14" ht="15.75" thickBot="1">
      <c r="C26" s="331">
        <v>5</v>
      </c>
      <c r="D26" s="26" t="str">
        <f>C57</f>
        <v>To enhance water quality and sewer effluent quality</v>
      </c>
      <c r="E26" s="26">
        <f>E57</f>
        <v>5</v>
      </c>
      <c r="F26" s="26">
        <f>F57</f>
        <v>5</v>
      </c>
      <c r="G26" s="26">
        <f>G57</f>
        <v>5</v>
      </c>
      <c r="H26" s="26">
        <f>H57</f>
        <v>5</v>
      </c>
      <c r="I26" s="128">
        <f>I57</f>
        <v>5</v>
      </c>
      <c r="L26" t="s">
        <v>565</v>
      </c>
      <c r="N26" s="195">
        <v>0.25</v>
      </c>
    </row>
    <row r="27" spans="2:14" ht="15.75" thickBot="1">
      <c r="C27" s="344"/>
      <c r="D27" s="336" t="s">
        <v>556</v>
      </c>
      <c r="E27" s="347">
        <f>SUM(E22:E26)*$J$20</f>
        <v>59000000</v>
      </c>
      <c r="F27" s="347">
        <f>SUM(F22:F26)*$J$20</f>
        <v>64000000</v>
      </c>
      <c r="G27" s="347">
        <f>SUM(G22:G26)*$J$20</f>
        <v>62000000</v>
      </c>
      <c r="H27" s="347">
        <f>SUM(H22:H26)*$J$20</f>
        <v>50000000</v>
      </c>
      <c r="I27" s="348">
        <f>SUM(I22:I26)*$J$20</f>
        <v>155000000</v>
      </c>
    </row>
    <row r="28" spans="2:14">
      <c r="C28" s="59"/>
      <c r="D28" s="62"/>
      <c r="E28" s="268"/>
      <c r="F28" s="268"/>
      <c r="G28" s="268"/>
      <c r="H28" s="268"/>
      <c r="I28" s="268"/>
    </row>
    <row r="29" spans="2:14">
      <c r="C29" s="59"/>
      <c r="E29" s="268"/>
      <c r="F29" s="268"/>
      <c r="G29" s="268"/>
      <c r="H29" s="268"/>
      <c r="I29" s="268"/>
    </row>
    <row r="30" spans="2:14">
      <c r="C30" s="59"/>
      <c r="D30" s="62"/>
      <c r="E30" s="268"/>
      <c r="F30" s="268"/>
      <c r="G30" s="268"/>
      <c r="H30" s="268"/>
      <c r="I30" s="268"/>
    </row>
    <row r="31" spans="2:14" ht="15.75" thickBot="1">
      <c r="C31" s="59"/>
      <c r="D31" s="59"/>
      <c r="E31" s="59"/>
      <c r="F31" s="59"/>
      <c r="G31" s="59"/>
      <c r="H31" s="59"/>
      <c r="I31" s="59"/>
    </row>
    <row r="32" spans="2:14" ht="26.25" customHeight="1" thickBot="1">
      <c r="B32" s="313"/>
      <c r="C32" s="315" t="s">
        <v>527</v>
      </c>
      <c r="D32" s="316" t="s">
        <v>528</v>
      </c>
      <c r="E32" s="317">
        <v>2022</v>
      </c>
      <c r="F32" s="317">
        <v>2023</v>
      </c>
      <c r="G32" s="317">
        <v>2024</v>
      </c>
      <c r="H32" s="317">
        <v>2025</v>
      </c>
      <c r="I32" s="314">
        <v>2026</v>
      </c>
      <c r="J32" s="2015" t="s">
        <v>531</v>
      </c>
      <c r="K32" s="2017" t="s">
        <v>553</v>
      </c>
      <c r="L32" s="2017" t="s">
        <v>554</v>
      </c>
    </row>
    <row r="33" spans="2:12" ht="24" customHeight="1" thickBot="1">
      <c r="B33" s="318"/>
      <c r="C33" s="319"/>
      <c r="D33" s="320"/>
      <c r="E33" s="2048" t="s">
        <v>942</v>
      </c>
      <c r="F33" s="2048"/>
      <c r="G33" s="2048"/>
      <c r="H33" s="2048"/>
      <c r="I33" s="2049"/>
      <c r="J33" s="2016"/>
      <c r="K33" s="2018"/>
      <c r="L33" s="2018" t="s">
        <v>554</v>
      </c>
    </row>
    <row r="34" spans="2:12" ht="45" customHeight="1">
      <c r="B34" s="2037">
        <v>1</v>
      </c>
      <c r="C34" s="2040" t="s">
        <v>529</v>
      </c>
      <c r="D34" s="322" t="s">
        <v>530</v>
      </c>
      <c r="E34" s="323"/>
      <c r="F34" s="323"/>
      <c r="G34" s="323"/>
      <c r="H34" s="323"/>
      <c r="I34" s="323">
        <v>300</v>
      </c>
      <c r="J34" s="322" t="s">
        <v>600</v>
      </c>
      <c r="K34" s="2050">
        <f>I34+I35+I36</f>
        <v>40500</v>
      </c>
      <c r="L34" s="2026">
        <f>E37+F37+G37+H37+I37+I38+I39</f>
        <v>110</v>
      </c>
    </row>
    <row r="35" spans="2:12" ht="30">
      <c r="B35" s="2038"/>
      <c r="C35" s="2041"/>
      <c r="D35" s="26" t="s">
        <v>532</v>
      </c>
      <c r="E35" s="26"/>
      <c r="F35" s="26"/>
      <c r="G35" s="26"/>
      <c r="H35" s="26"/>
      <c r="I35" s="26">
        <v>200</v>
      </c>
      <c r="J35" s="321" t="s">
        <v>601</v>
      </c>
      <c r="K35" s="2051"/>
      <c r="L35" s="2046"/>
    </row>
    <row r="36" spans="2:12" ht="51">
      <c r="B36" s="2038"/>
      <c r="C36" s="2041"/>
      <c r="D36" s="321" t="s">
        <v>543</v>
      </c>
      <c r="E36" s="26"/>
      <c r="F36" s="26"/>
      <c r="G36" s="26"/>
      <c r="H36" s="26"/>
      <c r="I36" s="153">
        <v>40000</v>
      </c>
      <c r="J36" s="321" t="s">
        <v>600</v>
      </c>
      <c r="K36" s="2051"/>
      <c r="L36" s="2046"/>
    </row>
    <row r="37" spans="2:12" ht="30">
      <c r="B37" s="2038"/>
      <c r="C37" s="2041"/>
      <c r="D37" s="321" t="s">
        <v>544</v>
      </c>
      <c r="E37" s="26">
        <v>10</v>
      </c>
      <c r="F37" s="26">
        <v>10</v>
      </c>
      <c r="G37" s="26">
        <v>10</v>
      </c>
      <c r="H37" s="26">
        <v>10</v>
      </c>
      <c r="I37" s="26">
        <v>10</v>
      </c>
      <c r="J37" s="321" t="s">
        <v>533</v>
      </c>
      <c r="K37" s="2051"/>
      <c r="L37" s="2046"/>
    </row>
    <row r="38" spans="2:12" s="1597" customFormat="1" ht="30">
      <c r="B38" s="2038"/>
      <c r="C38" s="2041"/>
      <c r="D38" s="1599" t="s">
        <v>534</v>
      </c>
      <c r="E38" s="396"/>
      <c r="F38" s="396"/>
      <c r="G38" s="396"/>
      <c r="H38" s="396"/>
      <c r="I38" s="396">
        <v>25</v>
      </c>
      <c r="J38" s="1599" t="s">
        <v>533</v>
      </c>
      <c r="K38" s="2051"/>
      <c r="L38" s="2046"/>
    </row>
    <row r="39" spans="2:12" s="1597" customFormat="1" ht="30.75" thickBot="1">
      <c r="B39" s="2039"/>
      <c r="C39" s="2042"/>
      <c r="D39" s="1600" t="s">
        <v>535</v>
      </c>
      <c r="E39" s="1601"/>
      <c r="F39" s="1601"/>
      <c r="G39" s="1601"/>
      <c r="H39" s="1601"/>
      <c r="I39" s="1601">
        <v>35</v>
      </c>
      <c r="J39" s="1600" t="s">
        <v>533</v>
      </c>
      <c r="K39" s="2052"/>
      <c r="L39" s="2027"/>
    </row>
    <row r="40" spans="2:12" ht="15.75" thickBot="1">
      <c r="B40" s="349"/>
      <c r="C40" s="350" t="s">
        <v>595</v>
      </c>
      <c r="D40" s="351"/>
      <c r="E40" s="1559">
        <f>SUM(E34:E39)</f>
        <v>10</v>
      </c>
      <c r="F40" s="1559">
        <f>SUM(F34:F39)</f>
        <v>10</v>
      </c>
      <c r="G40" s="1559">
        <f>SUM(G34:G39)</f>
        <v>10</v>
      </c>
      <c r="H40" s="1559">
        <f>SUM(H34:H39)</f>
        <v>10</v>
      </c>
      <c r="I40" s="1559">
        <f>SUM(I34:I39)</f>
        <v>40570</v>
      </c>
      <c r="J40" s="351"/>
      <c r="K40" s="352">
        <f>K34</f>
        <v>40500</v>
      </c>
      <c r="L40" s="353">
        <f>L34</f>
        <v>110</v>
      </c>
    </row>
    <row r="41" spans="2:12" ht="30">
      <c r="B41" s="2043">
        <v>2</v>
      </c>
      <c r="C41" s="2040" t="s">
        <v>545</v>
      </c>
      <c r="D41" s="322" t="s">
        <v>546</v>
      </c>
      <c r="E41" s="323"/>
      <c r="F41" s="323"/>
      <c r="G41" s="323"/>
      <c r="H41" s="323"/>
      <c r="I41" s="323">
        <v>100</v>
      </c>
      <c r="J41" s="322" t="s">
        <v>600</v>
      </c>
      <c r="K41" s="2028">
        <f>I41+I43</f>
        <v>200</v>
      </c>
      <c r="L41" s="2026">
        <f>E42+F42+G42+H42+I42+I44+I45</f>
        <v>80</v>
      </c>
    </row>
    <row r="42" spans="2:12" ht="30">
      <c r="B42" s="2044"/>
      <c r="C42" s="2041"/>
      <c r="D42" s="321" t="s">
        <v>547</v>
      </c>
      <c r="E42" s="26">
        <v>5</v>
      </c>
      <c r="F42" s="26">
        <v>5</v>
      </c>
      <c r="G42" s="26">
        <v>5</v>
      </c>
      <c r="H42" s="247">
        <v>5</v>
      </c>
      <c r="I42" s="26">
        <v>5</v>
      </c>
      <c r="J42" s="321" t="s">
        <v>533</v>
      </c>
      <c r="K42" s="2047"/>
      <c r="L42" s="2046"/>
    </row>
    <row r="43" spans="2:12" ht="30" customHeight="1">
      <c r="B43" s="2044"/>
      <c r="C43" s="2041"/>
      <c r="D43" s="321" t="s">
        <v>548</v>
      </c>
      <c r="E43" s="26"/>
      <c r="F43" s="26"/>
      <c r="G43" s="26"/>
      <c r="H43" s="26"/>
      <c r="I43" s="26">
        <v>100</v>
      </c>
      <c r="J43" s="321" t="s">
        <v>601</v>
      </c>
      <c r="K43" s="2047"/>
      <c r="L43" s="2046"/>
    </row>
    <row r="44" spans="2:12" ht="30">
      <c r="B44" s="2044"/>
      <c r="C44" s="2041"/>
      <c r="D44" s="321" t="s">
        <v>536</v>
      </c>
      <c r="E44" s="26"/>
      <c r="F44" s="26"/>
      <c r="G44" s="26"/>
      <c r="H44" s="26"/>
      <c r="I44" s="26">
        <v>20</v>
      </c>
      <c r="J44" s="321" t="s">
        <v>533</v>
      </c>
      <c r="K44" s="2047"/>
      <c r="L44" s="2046"/>
    </row>
    <row r="45" spans="2:12" ht="30.75" thickBot="1">
      <c r="B45" s="2045"/>
      <c r="C45" s="2042"/>
      <c r="D45" s="324" t="s">
        <v>537</v>
      </c>
      <c r="E45" s="325"/>
      <c r="F45" s="325"/>
      <c r="G45" s="325"/>
      <c r="H45" s="325"/>
      <c r="I45" s="325">
        <v>35</v>
      </c>
      <c r="J45" s="324" t="s">
        <v>533</v>
      </c>
      <c r="K45" s="2029"/>
      <c r="L45" s="2027"/>
    </row>
    <row r="46" spans="2:12" ht="15.75" thickBot="1">
      <c r="B46" s="354"/>
      <c r="C46" s="350" t="s">
        <v>596</v>
      </c>
      <c r="D46" s="351"/>
      <c r="E46" s="1559">
        <f>SUM(E41:E45)</f>
        <v>5</v>
      </c>
      <c r="F46" s="1559">
        <f>SUM(F41:F45)</f>
        <v>5</v>
      </c>
      <c r="G46" s="1559">
        <f>SUM(G41:G45)</f>
        <v>5</v>
      </c>
      <c r="H46" s="1559">
        <f>SUM(H41:H45)</f>
        <v>5</v>
      </c>
      <c r="I46" s="1559">
        <f>SUM(I41:I45)</f>
        <v>260</v>
      </c>
      <c r="J46" s="351"/>
      <c r="K46" s="352">
        <f>K41</f>
        <v>200</v>
      </c>
      <c r="L46" s="353">
        <f>L41</f>
        <v>80</v>
      </c>
    </row>
    <row r="47" spans="2:12" ht="30">
      <c r="B47" s="2022">
        <v>3</v>
      </c>
      <c r="C47" s="2024" t="s">
        <v>1033</v>
      </c>
      <c r="D47" s="322" t="s">
        <v>538</v>
      </c>
      <c r="E47" s="323"/>
      <c r="F47" s="323"/>
      <c r="G47" s="323"/>
      <c r="H47" s="323"/>
      <c r="I47" s="323">
        <v>50</v>
      </c>
      <c r="J47" s="322" t="s">
        <v>600</v>
      </c>
      <c r="K47" s="2028">
        <f>I47</f>
        <v>50</v>
      </c>
      <c r="L47" s="2026">
        <f>SUM(E48:H48)</f>
        <v>20</v>
      </c>
    </row>
    <row r="48" spans="2:12" ht="30.75" thickBot="1">
      <c r="B48" s="2023"/>
      <c r="C48" s="2025"/>
      <c r="D48" s="324" t="s">
        <v>539</v>
      </c>
      <c r="E48" s="325">
        <v>5</v>
      </c>
      <c r="F48" s="325">
        <v>5</v>
      </c>
      <c r="G48" s="325">
        <v>5</v>
      </c>
      <c r="H48" s="326">
        <v>5</v>
      </c>
      <c r="I48" s="325"/>
      <c r="J48" s="324" t="s">
        <v>533</v>
      </c>
      <c r="K48" s="2029"/>
      <c r="L48" s="2027"/>
    </row>
    <row r="49" spans="2:12" ht="15.75" thickBot="1">
      <c r="B49" s="355"/>
      <c r="C49" s="350" t="s">
        <v>597</v>
      </c>
      <c r="D49" s="351"/>
      <c r="E49" s="356">
        <f>SUM(E47:E48)</f>
        <v>5</v>
      </c>
      <c r="F49" s="356">
        <f>SUM(F47:F48)</f>
        <v>5</v>
      </c>
      <c r="G49" s="356">
        <f>SUM(G47:G48)</f>
        <v>5</v>
      </c>
      <c r="H49" s="356">
        <f>SUM(H47:H48)</f>
        <v>5</v>
      </c>
      <c r="I49" s="356">
        <f>SUM(I47:I48)</f>
        <v>50</v>
      </c>
      <c r="J49" s="351"/>
      <c r="K49" s="352">
        <f>K47</f>
        <v>50</v>
      </c>
      <c r="L49" s="353">
        <f>L47</f>
        <v>20</v>
      </c>
    </row>
    <row r="50" spans="2:12" ht="30">
      <c r="B50" s="2019">
        <v>4</v>
      </c>
      <c r="C50" s="2012" t="s">
        <v>541</v>
      </c>
      <c r="D50" s="322" t="str">
        <f>'NRW Management '!G17</f>
        <v>Up scale DMAs in Kakamega</v>
      </c>
      <c r="E50" s="1544">
        <f>'NRW Management '!H17/E61</f>
        <v>5</v>
      </c>
      <c r="F50" s="1545">
        <f>'NRW Management '!L17/E61</f>
        <v>5</v>
      </c>
      <c r="G50" s="1545">
        <f>'NRW Management '!P17/E61</f>
        <v>5</v>
      </c>
      <c r="H50" s="323"/>
      <c r="I50" s="323"/>
      <c r="J50" s="322" t="s">
        <v>533</v>
      </c>
      <c r="K50" s="2030">
        <f>SUM(E52:I52)/2</f>
        <v>60</v>
      </c>
      <c r="L50" s="2033">
        <f>SUM(E52:I52)/2+E50+F50+G50+E51+F51+G51+H51+I51+E53+F53+E54+F54+G54+E55+F55</f>
        <v>155</v>
      </c>
    </row>
    <row r="51" spans="2:12" ht="30">
      <c r="B51" s="2020"/>
      <c r="C51" s="2013"/>
      <c r="D51" s="321" t="s">
        <v>950</v>
      </c>
      <c r="E51" s="1547">
        <f>'NRW Management '!H8/E61</f>
        <v>5</v>
      </c>
      <c r="F51" s="1547">
        <f>'NRW Management '!L8/E61</f>
        <v>5</v>
      </c>
      <c r="G51" s="1547">
        <f>'NRW Management '!P8/E61</f>
        <v>5</v>
      </c>
      <c r="H51" s="1548">
        <f>'NRW Management '!T8/E61</f>
        <v>10</v>
      </c>
      <c r="I51" s="1547">
        <f>'NRW Management '!X8/E61</f>
        <v>5</v>
      </c>
      <c r="J51" s="321" t="s">
        <v>533</v>
      </c>
      <c r="K51" s="2031"/>
      <c r="L51" s="2034"/>
    </row>
    <row r="52" spans="2:12" ht="30">
      <c r="B52" s="2020"/>
      <c r="C52" s="2013"/>
      <c r="D52" s="321" t="s">
        <v>540</v>
      </c>
      <c r="E52" s="1548">
        <f>'NRW Management '!H21/E61</f>
        <v>18</v>
      </c>
      <c r="F52" s="1549">
        <f>'NRW Management '!L21/E61</f>
        <v>18</v>
      </c>
      <c r="G52" s="1549">
        <f>'NRW Management '!P21/E61</f>
        <v>24</v>
      </c>
      <c r="H52" s="1549">
        <f>'NRW Management '!T21/E61</f>
        <v>30</v>
      </c>
      <c r="I52" s="1547">
        <f>'NRW Management '!X21/E61</f>
        <v>30</v>
      </c>
      <c r="J52" s="321" t="s">
        <v>552</v>
      </c>
      <c r="K52" s="2031"/>
      <c r="L52" s="2034"/>
    </row>
    <row r="53" spans="2:12" ht="30">
      <c r="B53" s="2020"/>
      <c r="C53" s="2013"/>
      <c r="D53" s="321" t="s">
        <v>951</v>
      </c>
      <c r="E53" s="1550">
        <f>'NRW Management '!H9/E61</f>
        <v>5</v>
      </c>
      <c r="F53" s="1549">
        <f>'NRW Management '!L9/E61</f>
        <v>5</v>
      </c>
      <c r="G53" s="1547"/>
      <c r="H53" s="1547"/>
      <c r="I53" s="1547"/>
      <c r="J53" s="321" t="s">
        <v>533</v>
      </c>
      <c r="K53" s="2031"/>
      <c r="L53" s="2034"/>
    </row>
    <row r="54" spans="2:12" ht="30">
      <c r="B54" s="2020"/>
      <c r="C54" s="2013"/>
      <c r="D54" s="321" t="s">
        <v>549</v>
      </c>
      <c r="E54" s="246">
        <f>'NRW Management '!H18/E61</f>
        <v>5</v>
      </c>
      <c r="F54" s="1546">
        <f>'NRW Management '!L18/E61</f>
        <v>10</v>
      </c>
      <c r="G54" s="1546">
        <f>'NRW Management '!P18/E61</f>
        <v>15</v>
      </c>
      <c r="H54" s="26"/>
      <c r="I54" s="26"/>
      <c r="J54" s="321" t="s">
        <v>533</v>
      </c>
      <c r="K54" s="2031"/>
      <c r="L54" s="2034"/>
    </row>
    <row r="55" spans="2:12" ht="30.75" thickBot="1">
      <c r="B55" s="2021"/>
      <c r="C55" s="2014"/>
      <c r="D55" s="324" t="s">
        <v>550</v>
      </c>
      <c r="E55" s="325">
        <f>'NRW Management '!H25/E61</f>
        <v>5</v>
      </c>
      <c r="F55" s="1551">
        <f>'NRW Management '!L25/E61</f>
        <v>5</v>
      </c>
      <c r="G55" s="325"/>
      <c r="H55" s="325"/>
      <c r="I55" s="325"/>
      <c r="J55" s="324" t="s">
        <v>533</v>
      </c>
      <c r="K55" s="2032"/>
      <c r="L55" s="2035"/>
    </row>
    <row r="56" spans="2:12" ht="15.75" thickBot="1">
      <c r="B56" s="357"/>
      <c r="C56" s="350" t="s">
        <v>598</v>
      </c>
      <c r="D56" s="351"/>
      <c r="E56" s="1552">
        <f>SUM(E50:E55)</f>
        <v>43</v>
      </c>
      <c r="F56" s="1553">
        <f>SUM(F50:F55)</f>
        <v>48</v>
      </c>
      <c r="G56" s="1553">
        <f>SUM(G50:G55)</f>
        <v>49</v>
      </c>
      <c r="H56" s="1554">
        <f>SUM(H50:H55)</f>
        <v>40</v>
      </c>
      <c r="I56" s="1554">
        <f>SUM(I50:I55)</f>
        <v>35</v>
      </c>
      <c r="J56" s="351"/>
      <c r="K56" s="352">
        <f>K50</f>
        <v>60</v>
      </c>
      <c r="L56" s="1555">
        <f>L50</f>
        <v>155</v>
      </c>
    </row>
    <row r="57" spans="2:12" ht="45.75" thickBot="1">
      <c r="B57" s="1543">
        <v>5</v>
      </c>
      <c r="C57" s="327" t="s">
        <v>551</v>
      </c>
      <c r="D57" s="328" t="s">
        <v>542</v>
      </c>
      <c r="E57" s="329">
        <v>5</v>
      </c>
      <c r="F57" s="329">
        <v>5</v>
      </c>
      <c r="G57" s="329">
        <v>5</v>
      </c>
      <c r="H57" s="329">
        <v>5</v>
      </c>
      <c r="I57" s="329">
        <v>5</v>
      </c>
      <c r="J57" s="328" t="s">
        <v>533</v>
      </c>
      <c r="K57" s="329"/>
      <c r="L57" s="330">
        <f>SUM(E57:I57)</f>
        <v>25</v>
      </c>
    </row>
    <row r="58" spans="2:12" ht="15.75" thickBot="1">
      <c r="B58" s="358"/>
      <c r="C58" s="350" t="s">
        <v>599</v>
      </c>
      <c r="D58" s="351"/>
      <c r="E58" s="359">
        <f>SUM(E57)</f>
        <v>5</v>
      </c>
      <c r="F58" s="359">
        <f>SUM(F57)</f>
        <v>5</v>
      </c>
      <c r="G58" s="359">
        <f>SUM(G57)</f>
        <v>5</v>
      </c>
      <c r="H58" s="359">
        <f>SUM(H57)</f>
        <v>5</v>
      </c>
      <c r="I58" s="359">
        <f>SUM(I57)</f>
        <v>5</v>
      </c>
      <c r="J58" s="351"/>
      <c r="K58" s="352"/>
      <c r="L58" s="353">
        <f>L57</f>
        <v>25</v>
      </c>
    </row>
    <row r="59" spans="2:12" ht="15.75" thickBot="1">
      <c r="B59" s="361"/>
      <c r="C59" s="360" t="s">
        <v>555</v>
      </c>
      <c r="D59" s="360"/>
      <c r="E59" s="362">
        <f>E40+E46+E49+E56+E58</f>
        <v>68</v>
      </c>
      <c r="F59" s="362">
        <f>F40+F46+F49+F56+F58</f>
        <v>73</v>
      </c>
      <c r="G59" s="362">
        <f>G40+G46+G49+G56+G58</f>
        <v>74</v>
      </c>
      <c r="H59" s="362">
        <f>H40+H46+H49+H56+H58</f>
        <v>65</v>
      </c>
      <c r="I59" s="362">
        <f>I40+I46+I49+I56+I58</f>
        <v>40920</v>
      </c>
      <c r="J59" s="360"/>
      <c r="K59" s="363">
        <f>K40+K46+K49+K56+K58</f>
        <v>40810</v>
      </c>
      <c r="L59" s="364">
        <f>L40+L46+L49+L56+L58</f>
        <v>390</v>
      </c>
    </row>
    <row r="61" spans="2:12">
      <c r="E61" s="145">
        <v>1000000</v>
      </c>
    </row>
  </sheetData>
  <mergeCells count="21">
    <mergeCell ref="C3:C8"/>
    <mergeCell ref="B34:B39"/>
    <mergeCell ref="C41:C45"/>
    <mergeCell ref="B41:B45"/>
    <mergeCell ref="L34:L39"/>
    <mergeCell ref="K41:K45"/>
    <mergeCell ref="L41:L45"/>
    <mergeCell ref="E33:I33"/>
    <mergeCell ref="K34:K39"/>
    <mergeCell ref="C34:C39"/>
    <mergeCell ref="C50:C55"/>
    <mergeCell ref="J32:J33"/>
    <mergeCell ref="K32:K33"/>
    <mergeCell ref="L32:L33"/>
    <mergeCell ref="B50:B55"/>
    <mergeCell ref="B47:B48"/>
    <mergeCell ref="C47:C48"/>
    <mergeCell ref="L47:L48"/>
    <mergeCell ref="K47:K48"/>
    <mergeCell ref="K50:K55"/>
    <mergeCell ref="L50:L55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O55"/>
  <sheetViews>
    <sheetView zoomScale="90" zoomScaleNormal="90" workbookViewId="0">
      <pane xSplit="1" ySplit="4" topLeftCell="C44" activePane="bottomRight" state="frozen"/>
      <selection pane="topRight" activeCell="B1" sqref="B1"/>
      <selection pane="bottomLeft" activeCell="A5" sqref="A5"/>
      <selection pane="bottomRight" activeCell="I9" sqref="I9"/>
    </sheetView>
  </sheetViews>
  <sheetFormatPr defaultRowHeight="15"/>
  <cols>
    <col min="1" max="1" width="9.140625" style="377"/>
    <col min="2" max="2" width="31.42578125" bestFit="1" customWidth="1"/>
    <col min="3" max="3" width="17.140625" style="377" customWidth="1"/>
    <col min="4" max="4" width="12.85546875" customWidth="1"/>
    <col min="5" max="5" width="15.140625" customWidth="1"/>
    <col min="6" max="6" width="13" customWidth="1"/>
    <col min="7" max="7" width="17.85546875" customWidth="1"/>
    <col min="8" max="8" width="11.42578125" customWidth="1"/>
    <col min="9" max="9" width="14.7109375" customWidth="1"/>
    <col min="10" max="10" width="14.7109375" style="377" customWidth="1"/>
    <col min="11" max="11" width="14.85546875" customWidth="1"/>
    <col min="13" max="13" width="9.85546875" bestFit="1" customWidth="1"/>
    <col min="15" max="15" width="12.140625" bestFit="1" customWidth="1"/>
  </cols>
  <sheetData>
    <row r="2" spans="2:15" ht="15.75" thickBot="1"/>
    <row r="3" spans="2:15" s="1475" customFormat="1" ht="15.75" thickBot="1">
      <c r="B3" s="1480"/>
      <c r="C3" s="1477"/>
      <c r="D3" s="1476" t="s">
        <v>892</v>
      </c>
      <c r="E3" s="1476"/>
      <c r="F3" s="1476"/>
      <c r="G3" s="1477"/>
      <c r="H3" s="1477"/>
      <c r="I3" s="1478"/>
      <c r="J3" s="1488"/>
      <c r="K3" s="1479"/>
    </row>
    <row r="4" spans="2:15" s="1475" customFormat="1" ht="42.75" customHeight="1">
      <c r="B4" s="1479"/>
      <c r="C4" s="1481" t="s">
        <v>919</v>
      </c>
      <c r="D4" s="1481" t="s">
        <v>893</v>
      </c>
      <c r="E4" s="1481" t="s">
        <v>894</v>
      </c>
      <c r="F4" s="1481" t="s">
        <v>895</v>
      </c>
      <c r="G4" s="1481" t="s">
        <v>896</v>
      </c>
      <c r="H4" s="1481" t="s">
        <v>562</v>
      </c>
      <c r="I4" s="1481" t="s">
        <v>897</v>
      </c>
      <c r="J4" s="1481" t="s">
        <v>918</v>
      </c>
      <c r="K4" s="1482" t="s">
        <v>913</v>
      </c>
    </row>
    <row r="5" spans="2:15" s="1483" customFormat="1" ht="21" customHeight="1">
      <c r="B5" s="1489" t="s">
        <v>914</v>
      </c>
      <c r="C5" s="1490">
        <v>883033</v>
      </c>
      <c r="D5" s="1489"/>
      <c r="E5" s="1494">
        <v>2618289</v>
      </c>
      <c r="F5" s="1494">
        <v>1209226</v>
      </c>
      <c r="G5" s="1494">
        <v>8086706</v>
      </c>
      <c r="H5" s="1494">
        <v>2449280</v>
      </c>
      <c r="I5" s="1494">
        <v>1856878</v>
      </c>
      <c r="J5" s="1490">
        <v>16242000</v>
      </c>
      <c r="K5" s="155">
        <f t="shared" ref="K5:K11" si="0">SUM(C5:J5)</f>
        <v>33345412</v>
      </c>
    </row>
    <row r="6" spans="2:15" s="1483" customFormat="1" ht="21" customHeight="1">
      <c r="B6" s="1489" t="s">
        <v>915</v>
      </c>
      <c r="C6" s="1490">
        <v>2601862</v>
      </c>
      <c r="D6" s="1489"/>
      <c r="E6" s="1491"/>
      <c r="F6" s="1491"/>
      <c r="G6" s="1490">
        <v>9512000</v>
      </c>
      <c r="H6" s="1490">
        <v>374500</v>
      </c>
      <c r="I6" s="1490">
        <v>55790</v>
      </c>
      <c r="J6" s="1490">
        <v>4435100</v>
      </c>
      <c r="K6" s="155">
        <f t="shared" si="0"/>
        <v>16979252</v>
      </c>
    </row>
    <row r="7" spans="2:15" s="1483" customFormat="1" ht="21" customHeight="1">
      <c r="B7" s="1486" t="s">
        <v>916</v>
      </c>
      <c r="C7" s="159">
        <f>SUM(C5:C6)</f>
        <v>3484895</v>
      </c>
      <c r="D7" s="159"/>
      <c r="E7" s="159">
        <f>SUM(E5:E6)</f>
        <v>2618289</v>
      </c>
      <c r="F7" s="159">
        <f t="shared" ref="F7:J7" si="1">SUM(F3:F6)</f>
        <v>1209226</v>
      </c>
      <c r="G7" s="159">
        <f t="shared" si="1"/>
        <v>17598706</v>
      </c>
      <c r="H7" s="159">
        <f t="shared" si="1"/>
        <v>2823780</v>
      </c>
      <c r="I7" s="159">
        <f t="shared" si="1"/>
        <v>1912668</v>
      </c>
      <c r="J7" s="159">
        <f t="shared" si="1"/>
        <v>20677100</v>
      </c>
      <c r="K7" s="155">
        <f t="shared" si="0"/>
        <v>50324664</v>
      </c>
    </row>
    <row r="8" spans="2:15" s="1483" customFormat="1" ht="21" customHeight="1">
      <c r="B8" s="1484" t="s">
        <v>917</v>
      </c>
      <c r="C8" s="1490">
        <v>122242</v>
      </c>
      <c r="D8" s="1489"/>
      <c r="E8" s="1490">
        <v>2618289</v>
      </c>
      <c r="F8" s="1490">
        <v>678156</v>
      </c>
      <c r="G8" s="1490">
        <v>8086706</v>
      </c>
      <c r="H8" s="1490">
        <v>2449280</v>
      </c>
      <c r="I8" s="1490">
        <v>648123</v>
      </c>
      <c r="J8" s="1490">
        <v>11722875</v>
      </c>
      <c r="K8" s="155">
        <f t="shared" si="0"/>
        <v>26325671</v>
      </c>
    </row>
    <row r="9" spans="2:15" s="1483" customFormat="1" ht="21" customHeight="1">
      <c r="B9" s="1489" t="s">
        <v>905</v>
      </c>
      <c r="C9" s="1490">
        <v>139396</v>
      </c>
      <c r="D9" s="1484"/>
      <c r="E9" s="1485"/>
      <c r="F9" s="1490">
        <v>120923</v>
      </c>
      <c r="G9" s="1490">
        <v>4399677</v>
      </c>
      <c r="H9" s="1490">
        <v>374500</v>
      </c>
      <c r="I9" s="1490">
        <v>239084</v>
      </c>
      <c r="J9" s="1490">
        <v>5169275</v>
      </c>
      <c r="K9" s="1493">
        <f t="shared" si="0"/>
        <v>10442855</v>
      </c>
    </row>
    <row r="10" spans="2:15" s="1483" customFormat="1" ht="21" customHeight="1">
      <c r="B10" s="1489" t="s">
        <v>920</v>
      </c>
      <c r="C10" s="1490">
        <v>261638</v>
      </c>
      <c r="D10" s="1484"/>
      <c r="E10" s="1492">
        <v>2618289</v>
      </c>
      <c r="F10" s="1490">
        <v>799079</v>
      </c>
      <c r="G10" s="1490">
        <v>12486383</v>
      </c>
      <c r="H10" s="1490">
        <v>2823780</v>
      </c>
      <c r="I10" s="1490">
        <v>887207</v>
      </c>
      <c r="J10" s="1490">
        <v>16892150</v>
      </c>
      <c r="K10" s="1493">
        <f t="shared" si="0"/>
        <v>36768526</v>
      </c>
    </row>
    <row r="11" spans="2:15" s="1483" customFormat="1" ht="21" customHeight="1">
      <c r="B11" s="1486" t="s">
        <v>921</v>
      </c>
      <c r="C11" s="1487">
        <f t="shared" ref="C11:J11" si="2">C7-C10</f>
        <v>3223257</v>
      </c>
      <c r="D11" s="1487">
        <f t="shared" si="2"/>
        <v>0</v>
      </c>
      <c r="E11" s="1487">
        <f t="shared" si="2"/>
        <v>0</v>
      </c>
      <c r="F11" s="1487">
        <f t="shared" si="2"/>
        <v>410147</v>
      </c>
      <c r="G11" s="1487">
        <f t="shared" si="2"/>
        <v>5112323</v>
      </c>
      <c r="H11" s="1487">
        <f t="shared" si="2"/>
        <v>0</v>
      </c>
      <c r="I11" s="1487">
        <f t="shared" si="2"/>
        <v>1025461</v>
      </c>
      <c r="J11" s="1487">
        <f t="shared" si="2"/>
        <v>3784950</v>
      </c>
      <c r="K11" s="160">
        <f t="shared" si="0"/>
        <v>13556138</v>
      </c>
    </row>
    <row r="12" spans="2:15">
      <c r="B12" s="151" t="s">
        <v>898</v>
      </c>
      <c r="C12" s="151"/>
      <c r="D12" s="26">
        <v>0</v>
      </c>
      <c r="E12" s="153">
        <v>24161995</v>
      </c>
      <c r="F12" s="155">
        <v>1209226</v>
      </c>
      <c r="G12" s="153">
        <v>17598706</v>
      </c>
      <c r="H12" s="153">
        <v>2823780</v>
      </c>
      <c r="I12" s="155">
        <v>4530957</v>
      </c>
      <c r="J12" s="155"/>
      <c r="K12" s="155">
        <f>SUM(D12:J12)</f>
        <v>50324664</v>
      </c>
    </row>
    <row r="13" spans="2:15">
      <c r="B13" s="26" t="s">
        <v>899</v>
      </c>
      <c r="C13" s="26"/>
      <c r="D13" s="26">
        <v>0</v>
      </c>
      <c r="E13" s="155">
        <v>5384760</v>
      </c>
      <c r="F13" s="153">
        <v>576759</v>
      </c>
      <c r="G13" s="26">
        <v>0</v>
      </c>
      <c r="H13" s="153">
        <v>932900</v>
      </c>
      <c r="I13" s="153">
        <v>596671</v>
      </c>
      <c r="J13" s="153"/>
      <c r="K13" s="155">
        <f>SUM(D13:I13)</f>
        <v>7491090</v>
      </c>
    </row>
    <row r="14" spans="2:15">
      <c r="B14" s="26" t="s">
        <v>900</v>
      </c>
      <c r="C14" s="26"/>
      <c r="D14" s="26">
        <v>0</v>
      </c>
      <c r="E14" s="26">
        <v>0</v>
      </c>
      <c r="F14" s="26"/>
      <c r="G14" s="26"/>
      <c r="H14" s="26"/>
      <c r="I14" s="26">
        <v>0</v>
      </c>
      <c r="J14" s="26"/>
      <c r="K14" s="155"/>
      <c r="O14" s="168"/>
    </row>
    <row r="15" spans="2:15" ht="15.75" thickBot="1">
      <c r="B15" s="1495" t="s">
        <v>901</v>
      </c>
      <c r="C15" s="1495"/>
      <c r="D15" s="1495">
        <v>0</v>
      </c>
      <c r="E15" s="1495">
        <v>0</v>
      </c>
      <c r="F15" s="1495"/>
      <c r="G15" s="1495"/>
      <c r="H15" s="1495"/>
      <c r="I15" s="1495">
        <v>0</v>
      </c>
      <c r="J15" s="1495"/>
      <c r="K15" s="1496"/>
    </row>
    <row r="16" spans="2:15" s="144" customFormat="1" ht="15.75" thickBot="1">
      <c r="B16" s="1498" t="s">
        <v>902</v>
      </c>
      <c r="C16" s="1499"/>
      <c r="D16" s="1499">
        <v>0</v>
      </c>
      <c r="E16" s="1500">
        <f>SUM(E12:E15)</f>
        <v>29546755</v>
      </c>
      <c r="F16" s="1500">
        <f>SUM(F12:F15)</f>
        <v>1785985</v>
      </c>
      <c r="G16" s="1500">
        <f t="shared" ref="G16:I16" si="3">SUM(G12:G15)</f>
        <v>17598706</v>
      </c>
      <c r="H16" s="1500">
        <f t="shared" si="3"/>
        <v>3756680</v>
      </c>
      <c r="I16" s="1500">
        <f t="shared" si="3"/>
        <v>5127628</v>
      </c>
      <c r="J16" s="1500"/>
      <c r="K16" s="1501">
        <f>SUM(D16:I16)</f>
        <v>57815754</v>
      </c>
    </row>
    <row r="17" spans="2:13">
      <c r="B17" s="1497" t="s">
        <v>903</v>
      </c>
      <c r="C17" s="1497"/>
      <c r="D17" s="78">
        <v>0</v>
      </c>
      <c r="E17" s="78">
        <v>0</v>
      </c>
      <c r="F17" s="78"/>
      <c r="G17" s="78"/>
      <c r="H17" s="78"/>
      <c r="I17" s="78"/>
      <c r="J17" s="78"/>
      <c r="K17" s="228"/>
    </row>
    <row r="18" spans="2:13">
      <c r="B18" s="26" t="s">
        <v>904</v>
      </c>
      <c r="C18" s="26"/>
      <c r="D18" s="247">
        <v>0</v>
      </c>
      <c r="E18" s="153">
        <v>17153788</v>
      </c>
      <c r="F18" s="153">
        <v>799079</v>
      </c>
      <c r="G18" s="153">
        <v>12486383</v>
      </c>
      <c r="H18" s="153">
        <v>2823780</v>
      </c>
      <c r="I18" s="153">
        <v>3505496</v>
      </c>
      <c r="J18" s="153"/>
      <c r="K18" s="155">
        <f>SUM(D18:I18)</f>
        <v>36768526</v>
      </c>
    </row>
    <row r="19" spans="2:13">
      <c r="B19" s="26" t="s">
        <v>900</v>
      </c>
      <c r="C19" s="26"/>
      <c r="D19" s="247">
        <v>0</v>
      </c>
      <c r="E19" s="26"/>
      <c r="F19" s="26"/>
      <c r="G19" s="26"/>
      <c r="H19" s="26"/>
      <c r="I19" s="26"/>
      <c r="J19" s="26"/>
      <c r="K19" s="155"/>
    </row>
    <row r="20" spans="2:13">
      <c r="B20" s="394" t="s">
        <v>905</v>
      </c>
      <c r="C20" s="151"/>
      <c r="D20" s="395">
        <v>0</v>
      </c>
      <c r="E20" s="1493">
        <v>6412046</v>
      </c>
      <c r="F20" s="399">
        <v>178599</v>
      </c>
      <c r="G20" s="1493">
        <v>4399677</v>
      </c>
      <c r="H20" s="394"/>
      <c r="I20" s="399">
        <v>239084</v>
      </c>
      <c r="J20" s="159"/>
      <c r="K20" s="1493">
        <f>SUM(D20:I20)</f>
        <v>11229406</v>
      </c>
    </row>
    <row r="21" spans="2:13" ht="15.75" thickBot="1">
      <c r="B21" s="1495" t="s">
        <v>906</v>
      </c>
      <c r="C21" s="1495"/>
      <c r="D21" s="1502">
        <v>0</v>
      </c>
      <c r="E21" s="1503">
        <f>E18+E20</f>
        <v>23565834</v>
      </c>
      <c r="F21" s="1503">
        <f t="shared" ref="F21:I21" si="4">F18+F20</f>
        <v>977678</v>
      </c>
      <c r="G21" s="1503">
        <f t="shared" si="4"/>
        <v>16886060</v>
      </c>
      <c r="H21" s="1503">
        <f t="shared" si="4"/>
        <v>2823780</v>
      </c>
      <c r="I21" s="1503">
        <f t="shared" si="4"/>
        <v>3744580</v>
      </c>
      <c r="J21" s="1503">
        <f>J18+J20</f>
        <v>0</v>
      </c>
      <c r="K21" s="1496">
        <f>SUM(D21:I21)</f>
        <v>47997932</v>
      </c>
    </row>
    <row r="22" spans="2:13">
      <c r="B22" s="1504" t="s">
        <v>907</v>
      </c>
      <c r="C22" s="1505"/>
      <c r="D22" s="1506">
        <v>0</v>
      </c>
      <c r="E22" s="1507">
        <f>E16-E21</f>
        <v>5980921</v>
      </c>
      <c r="F22" s="1507">
        <f t="shared" ref="F22:K22" si="5">F16-F21</f>
        <v>808307</v>
      </c>
      <c r="G22" s="1507">
        <f t="shared" si="5"/>
        <v>712646</v>
      </c>
      <c r="H22" s="1507">
        <f t="shared" si="5"/>
        <v>932900</v>
      </c>
      <c r="I22" s="1507">
        <f t="shared" si="5"/>
        <v>1383048</v>
      </c>
      <c r="J22" s="1507"/>
      <c r="K22" s="1508">
        <f t="shared" si="5"/>
        <v>9817822</v>
      </c>
    </row>
    <row r="23" spans="2:13" ht="15.75" thickBot="1">
      <c r="B23" s="1509" t="s">
        <v>908</v>
      </c>
      <c r="C23" s="1510"/>
      <c r="D23" s="325">
        <v>0</v>
      </c>
      <c r="E23" s="1511">
        <f>SUM(E21:E22)</f>
        <v>29546755</v>
      </c>
      <c r="F23" s="1512">
        <v>1785985</v>
      </c>
      <c r="G23" s="1513">
        <v>17598706</v>
      </c>
      <c r="H23" s="1513">
        <v>3756680</v>
      </c>
      <c r="I23" s="1513">
        <v>5127628</v>
      </c>
      <c r="J23" s="1513"/>
      <c r="K23" s="1514">
        <f>SUM(D23:I23)</f>
        <v>57815754</v>
      </c>
    </row>
    <row r="24" spans="2:13">
      <c r="B24" s="78" t="s">
        <v>899</v>
      </c>
      <c r="C24" s="78"/>
      <c r="D24" s="78">
        <v>0</v>
      </c>
      <c r="E24" s="339">
        <v>0</v>
      </c>
      <c r="F24" s="78">
        <v>0</v>
      </c>
      <c r="G24" s="339">
        <v>0</v>
      </c>
      <c r="H24" s="339">
        <v>0</v>
      </c>
      <c r="I24" s="339">
        <v>0</v>
      </c>
      <c r="J24" s="339"/>
      <c r="K24" s="228">
        <f>SUM(D24:I24)</f>
        <v>0</v>
      </c>
    </row>
    <row r="25" spans="2:13">
      <c r="B25" s="26" t="s">
        <v>900</v>
      </c>
      <c r="C25" s="26"/>
      <c r="D25" s="26">
        <v>0</v>
      </c>
      <c r="E25" s="26">
        <v>0</v>
      </c>
      <c r="F25" s="26"/>
      <c r="G25" s="26"/>
      <c r="H25" s="26"/>
      <c r="I25" s="26">
        <v>0</v>
      </c>
      <c r="J25" s="26"/>
      <c r="K25" s="155"/>
    </row>
    <row r="26" spans="2:13" ht="15.75" thickBot="1">
      <c r="B26" s="1495" t="s">
        <v>909</v>
      </c>
      <c r="C26" s="1495"/>
      <c r="D26" s="1495">
        <v>0</v>
      </c>
      <c r="E26" s="1495">
        <v>0</v>
      </c>
      <c r="F26" s="1495"/>
      <c r="G26" s="1495"/>
      <c r="H26" s="1495"/>
      <c r="I26" s="1495">
        <v>0</v>
      </c>
      <c r="J26" s="1495"/>
      <c r="K26" s="1496"/>
    </row>
    <row r="27" spans="2:13" ht="15.75" thickBot="1">
      <c r="B27" s="1498" t="s">
        <v>910</v>
      </c>
      <c r="C27" s="1499"/>
      <c r="D27" s="329">
        <v>0</v>
      </c>
      <c r="E27" s="1500">
        <f>E23+E24</f>
        <v>29546755</v>
      </c>
      <c r="F27" s="1500">
        <f>F23+F24</f>
        <v>1785985</v>
      </c>
      <c r="G27" s="1500">
        <f>G23+G24</f>
        <v>17598706</v>
      </c>
      <c r="H27" s="1500">
        <f>H23+H24</f>
        <v>3756680</v>
      </c>
      <c r="I27" s="1500">
        <f>I23+I24</f>
        <v>5127628</v>
      </c>
      <c r="J27" s="1500"/>
      <c r="K27" s="1501">
        <f>SUM(D27:I27)</f>
        <v>57815754</v>
      </c>
      <c r="M27" s="145"/>
    </row>
    <row r="28" spans="2:13">
      <c r="B28" s="1497" t="s">
        <v>903</v>
      </c>
      <c r="C28" s="1497"/>
      <c r="D28" s="78">
        <v>0</v>
      </c>
      <c r="E28" s="78">
        <v>0</v>
      </c>
      <c r="F28" s="78"/>
      <c r="G28" s="78"/>
      <c r="H28" s="78"/>
      <c r="I28" s="78">
        <v>0</v>
      </c>
      <c r="J28" s="78"/>
      <c r="K28" s="228"/>
    </row>
    <row r="29" spans="2:13">
      <c r="B29" s="26" t="s">
        <v>904</v>
      </c>
      <c r="C29" s="26"/>
      <c r="D29" s="26">
        <v>0</v>
      </c>
      <c r="E29" s="153">
        <v>23565834</v>
      </c>
      <c r="F29" s="153">
        <v>977678</v>
      </c>
      <c r="G29" s="153">
        <v>16886060</v>
      </c>
      <c r="H29" s="153">
        <v>2823780</v>
      </c>
      <c r="I29" s="153">
        <v>2927833</v>
      </c>
      <c r="J29" s="153"/>
      <c r="K29" s="155">
        <f>SUM(D29:I29)</f>
        <v>47181185</v>
      </c>
    </row>
    <row r="30" spans="2:13">
      <c r="B30" s="26" t="s">
        <v>911</v>
      </c>
      <c r="C30" s="26"/>
      <c r="D30" s="26">
        <v>0</v>
      </c>
      <c r="E30" s="26">
        <v>0</v>
      </c>
      <c r="F30" s="26"/>
      <c r="G30" s="26"/>
      <c r="H30" s="26"/>
      <c r="I30" s="26">
        <v>0</v>
      </c>
      <c r="J30" s="26"/>
      <c r="K30" s="155"/>
    </row>
    <row r="31" spans="2:13" ht="15.75" thickBot="1">
      <c r="B31" s="1515" t="s">
        <v>905</v>
      </c>
      <c r="C31" s="1516"/>
      <c r="D31" s="1515">
        <v>0</v>
      </c>
      <c r="E31" s="1517">
        <v>1206901</v>
      </c>
      <c r="F31" s="1517">
        <v>101038</v>
      </c>
      <c r="G31" s="1517">
        <v>1019304</v>
      </c>
      <c r="H31" s="1517">
        <v>884197</v>
      </c>
      <c r="I31" s="1517">
        <v>278650</v>
      </c>
      <c r="J31" s="1517"/>
      <c r="K31" s="1518">
        <f t="shared" ref="K31:K38" si="6">SUM(D31:I31)</f>
        <v>3490090</v>
      </c>
    </row>
    <row r="32" spans="2:13">
      <c r="B32" s="1504" t="s">
        <v>906</v>
      </c>
      <c r="C32" s="1505"/>
      <c r="D32" s="1519">
        <v>0</v>
      </c>
      <c r="E32" s="1507">
        <f>E29+E31</f>
        <v>24772735</v>
      </c>
      <c r="F32" s="1507">
        <f>F29+F31</f>
        <v>1078716</v>
      </c>
      <c r="G32" s="1507">
        <f t="shared" ref="G32:I32" si="7">G29+G31</f>
        <v>17905364</v>
      </c>
      <c r="H32" s="1507">
        <f t="shared" si="7"/>
        <v>3707977</v>
      </c>
      <c r="I32" s="1507">
        <f t="shared" si="7"/>
        <v>3206483</v>
      </c>
      <c r="J32" s="1507"/>
      <c r="K32" s="1520">
        <f t="shared" si="6"/>
        <v>50671275</v>
      </c>
    </row>
    <row r="33" spans="2:11" ht="15.75" thickBot="1">
      <c r="B33" s="1509" t="s">
        <v>912</v>
      </c>
      <c r="C33" s="1510"/>
      <c r="D33" s="1510">
        <v>0</v>
      </c>
      <c r="E33" s="1513">
        <f>E27-E32</f>
        <v>4774020</v>
      </c>
      <c r="F33" s="1513">
        <f>F27-F32</f>
        <v>707269</v>
      </c>
      <c r="G33" s="1513">
        <f>G27-G32</f>
        <v>-306658</v>
      </c>
      <c r="H33" s="1513">
        <f t="shared" ref="H33:I33" si="8">H27-H32</f>
        <v>48703</v>
      </c>
      <c r="I33" s="1513">
        <f t="shared" si="8"/>
        <v>1921145</v>
      </c>
      <c r="J33" s="1513"/>
      <c r="K33" s="1514">
        <f t="shared" si="6"/>
        <v>7144479</v>
      </c>
    </row>
    <row r="34" spans="2:11" ht="15.75" thickBot="1">
      <c r="B34" s="1509" t="s">
        <v>943</v>
      </c>
      <c r="C34" s="1510"/>
      <c r="D34" s="325">
        <v>0</v>
      </c>
      <c r="E34" s="1511">
        <v>29546755</v>
      </c>
      <c r="F34" s="1512">
        <v>1785985</v>
      </c>
      <c r="G34" s="1513">
        <v>17598706</v>
      </c>
      <c r="H34" s="1513">
        <v>3756680</v>
      </c>
      <c r="I34" s="1513">
        <v>5127628</v>
      </c>
      <c r="J34" s="1513"/>
      <c r="K34" s="1514">
        <f t="shared" si="6"/>
        <v>57815754</v>
      </c>
    </row>
    <row r="35" spans="2:11">
      <c r="B35" s="78" t="s">
        <v>899</v>
      </c>
      <c r="C35" s="78"/>
      <c r="D35" s="78">
        <v>0</v>
      </c>
      <c r="E35" s="339">
        <v>0</v>
      </c>
      <c r="F35" s="78">
        <v>0</v>
      </c>
      <c r="G35" s="339">
        <v>0</v>
      </c>
      <c r="H35" s="339">
        <v>1466647</v>
      </c>
      <c r="I35" s="339">
        <v>803995</v>
      </c>
      <c r="J35" s="339"/>
      <c r="K35" s="228">
        <f t="shared" si="6"/>
        <v>2270642</v>
      </c>
    </row>
    <row r="36" spans="2:11">
      <c r="B36" s="26" t="s">
        <v>900</v>
      </c>
      <c r="C36" s="26"/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/>
      <c r="K36" s="155">
        <f t="shared" si="6"/>
        <v>0</v>
      </c>
    </row>
    <row r="37" spans="2:11" ht="15.75" thickBot="1">
      <c r="B37" s="1495" t="s">
        <v>909</v>
      </c>
      <c r="C37" s="1495"/>
      <c r="D37" s="1495">
        <v>0</v>
      </c>
      <c r="E37" s="1495">
        <v>0</v>
      </c>
      <c r="F37" s="1495">
        <v>0</v>
      </c>
      <c r="G37" s="1495">
        <v>0</v>
      </c>
      <c r="H37" s="1495">
        <v>0</v>
      </c>
      <c r="I37" s="1495">
        <v>0</v>
      </c>
      <c r="J37" s="1495"/>
      <c r="K37" s="1496">
        <f t="shared" si="6"/>
        <v>0</v>
      </c>
    </row>
    <row r="38" spans="2:11" ht="15.75" thickBot="1">
      <c r="B38" s="1498" t="s">
        <v>944</v>
      </c>
      <c r="C38" s="1499"/>
      <c r="D38" s="329">
        <v>0</v>
      </c>
      <c r="E38" s="1500">
        <f>SUM(E34:E37)</f>
        <v>29546755</v>
      </c>
      <c r="F38" s="1500">
        <f>SUM(F34:F37)</f>
        <v>1785985</v>
      </c>
      <c r="G38" s="1500">
        <f>SUM(G34:G37)</f>
        <v>17598706</v>
      </c>
      <c r="H38" s="1500">
        <f>SUM(H34:H37)</f>
        <v>5223327</v>
      </c>
      <c r="I38" s="1500">
        <f>SUM(I34:I37)</f>
        <v>5931623</v>
      </c>
      <c r="J38" s="1500"/>
      <c r="K38" s="1501">
        <f t="shared" si="6"/>
        <v>60086396</v>
      </c>
    </row>
    <row r="39" spans="2:11">
      <c r="B39" s="1497" t="s">
        <v>903</v>
      </c>
      <c r="C39" s="1497"/>
      <c r="D39" s="78">
        <v>0</v>
      </c>
      <c r="E39" s="78"/>
      <c r="F39" s="78"/>
      <c r="G39" s="78"/>
      <c r="H39" s="78"/>
      <c r="I39" s="78"/>
      <c r="J39" s="78"/>
      <c r="K39" s="228"/>
    </row>
    <row r="40" spans="2:11">
      <c r="B40" s="26" t="s">
        <v>945</v>
      </c>
      <c r="C40" s="26"/>
      <c r="D40" s="26">
        <v>0</v>
      </c>
      <c r="E40" s="153">
        <v>24772735</v>
      </c>
      <c r="F40" s="153">
        <v>1078716</v>
      </c>
      <c r="G40" s="153">
        <v>17905364</v>
      </c>
      <c r="H40" s="153">
        <v>3707977</v>
      </c>
      <c r="I40" s="153">
        <v>3206483</v>
      </c>
      <c r="J40" s="153"/>
      <c r="K40" s="155">
        <f>SUM(D40:I40)</f>
        <v>50671275</v>
      </c>
    </row>
    <row r="41" spans="2:11">
      <c r="B41" s="26" t="s">
        <v>900</v>
      </c>
      <c r="C41" s="26"/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/>
      <c r="K41" s="155">
        <f>SUM(D41:I41)</f>
        <v>0</v>
      </c>
    </row>
    <row r="42" spans="2:11" ht="15.75" thickBot="1">
      <c r="B42" s="1515" t="s">
        <v>905</v>
      </c>
      <c r="C42" s="1516"/>
      <c r="D42" s="1515">
        <v>0</v>
      </c>
      <c r="E42" s="1517">
        <v>596752.5</v>
      </c>
      <c r="F42" s="1517">
        <v>88408.63</v>
      </c>
      <c r="G42" s="1517">
        <v>-76664.5</v>
      </c>
      <c r="H42" s="1517">
        <v>454605</v>
      </c>
      <c r="I42" s="1517">
        <v>340642.5</v>
      </c>
      <c r="J42" s="1517"/>
      <c r="K42" s="1518">
        <f>SUM(D42:I42)</f>
        <v>1403744.13</v>
      </c>
    </row>
    <row r="43" spans="2:11">
      <c r="B43" s="1504" t="s">
        <v>946</v>
      </c>
      <c r="C43" s="1505"/>
      <c r="D43" s="1519">
        <v>0</v>
      </c>
      <c r="E43" s="1507">
        <f>SUM(E40:E42)</f>
        <v>25369487.5</v>
      </c>
      <c r="F43" s="1507">
        <f>SUM(F40:F42)</f>
        <v>1167124.6299999999</v>
      </c>
      <c r="G43" s="1507">
        <f>SUM(G40:G42)</f>
        <v>17828699.5</v>
      </c>
      <c r="H43" s="1507">
        <f>SUM(H40:H42)</f>
        <v>4162582</v>
      </c>
      <c r="I43" s="1507">
        <f>SUM(I40:I42)</f>
        <v>3547125.5</v>
      </c>
      <c r="J43" s="1507"/>
      <c r="K43" s="1520">
        <f>SUM(D43:I43)</f>
        <v>52075019.129999995</v>
      </c>
    </row>
    <row r="44" spans="2:11" ht="15.75" thickBot="1">
      <c r="B44" s="1509" t="s">
        <v>947</v>
      </c>
      <c r="C44" s="1510"/>
      <c r="D44" s="1510">
        <v>0</v>
      </c>
      <c r="E44" s="1513">
        <f>E38-E43</f>
        <v>4177267.5</v>
      </c>
      <c r="F44" s="1513">
        <f>F38-F43</f>
        <v>618860.37000000011</v>
      </c>
      <c r="G44" s="1513">
        <f>G38-G43</f>
        <v>-229993.5</v>
      </c>
      <c r="H44" s="1513">
        <f>H38-H43</f>
        <v>1060745</v>
      </c>
      <c r="I44" s="1513">
        <f>I38-I43</f>
        <v>2384497.5</v>
      </c>
      <c r="J44" s="1513"/>
      <c r="K44" s="1514">
        <f>SUM(D44:I44)</f>
        <v>8011376.8700000001</v>
      </c>
    </row>
    <row r="45" spans="2:11" s="366" customFormat="1" ht="15.75" thickBot="1">
      <c r="B45" s="1564" t="s">
        <v>952</v>
      </c>
      <c r="C45" s="1565"/>
      <c r="D45" s="1566">
        <v>0</v>
      </c>
      <c r="E45" s="1567">
        <v>29546755</v>
      </c>
      <c r="F45" s="1568">
        <v>1785985</v>
      </c>
      <c r="G45" s="1569">
        <v>17598706</v>
      </c>
      <c r="H45" s="1569">
        <v>3756680</v>
      </c>
      <c r="I45" s="1569">
        <v>5127628</v>
      </c>
      <c r="J45" s="1569"/>
      <c r="K45" s="1570">
        <f t="shared" ref="K45:K49" si="9">SUM(D45:I45)</f>
        <v>57815754</v>
      </c>
    </row>
    <row r="46" spans="2:11">
      <c r="B46" s="78" t="s">
        <v>899</v>
      </c>
      <c r="C46" s="78"/>
      <c r="D46" s="78">
        <v>0</v>
      </c>
      <c r="E46" s="339">
        <v>0</v>
      </c>
      <c r="F46" s="78">
        <v>0</v>
      </c>
      <c r="G46" s="339">
        <v>0</v>
      </c>
      <c r="H46" s="339">
        <v>1466647</v>
      </c>
      <c r="I46" s="339">
        <v>803995</v>
      </c>
      <c r="J46" s="339"/>
      <c r="K46" s="228">
        <f t="shared" si="9"/>
        <v>2270642</v>
      </c>
    </row>
    <row r="47" spans="2:11">
      <c r="B47" s="26" t="s">
        <v>900</v>
      </c>
      <c r="C47" s="26"/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/>
      <c r="K47" s="155">
        <f t="shared" si="9"/>
        <v>0</v>
      </c>
    </row>
    <row r="48" spans="2:11" ht="15.75" thickBot="1">
      <c r="B48" s="1495" t="s">
        <v>909</v>
      </c>
      <c r="C48" s="1495"/>
      <c r="D48" s="1495">
        <v>0</v>
      </c>
      <c r="E48" s="1495">
        <v>0</v>
      </c>
      <c r="F48" s="1495">
        <v>0</v>
      </c>
      <c r="G48" s="1495">
        <v>0</v>
      </c>
      <c r="H48" s="1495">
        <v>0</v>
      </c>
      <c r="I48" s="1495">
        <v>0</v>
      </c>
      <c r="J48" s="1495"/>
      <c r="K48" s="1496">
        <f t="shared" si="9"/>
        <v>0</v>
      </c>
    </row>
    <row r="49" spans="2:11" ht="15.75" thickBot="1">
      <c r="B49" s="1498" t="s">
        <v>944</v>
      </c>
      <c r="C49" s="1499"/>
      <c r="D49" s="329">
        <v>0</v>
      </c>
      <c r="E49" s="1500">
        <f>SUM(E45:E48)</f>
        <v>29546755</v>
      </c>
      <c r="F49" s="1500">
        <f>SUM(F45:F48)</f>
        <v>1785985</v>
      </c>
      <c r="G49" s="1500">
        <f>SUM(G45:G48)</f>
        <v>17598706</v>
      </c>
      <c r="H49" s="1500">
        <f>SUM(H45:H48)</f>
        <v>5223327</v>
      </c>
      <c r="I49" s="1500">
        <f>SUM(I45:I48)</f>
        <v>5931623</v>
      </c>
      <c r="J49" s="1500"/>
      <c r="K49" s="1501">
        <f t="shared" si="9"/>
        <v>60086396</v>
      </c>
    </row>
    <row r="50" spans="2:11">
      <c r="B50" s="1497" t="s">
        <v>903</v>
      </c>
      <c r="C50" s="1497"/>
      <c r="D50" s="78">
        <v>0</v>
      </c>
      <c r="E50" s="78"/>
      <c r="F50" s="78"/>
      <c r="G50" s="78"/>
      <c r="H50" s="78"/>
      <c r="I50" s="78"/>
      <c r="J50" s="78"/>
      <c r="K50" s="228"/>
    </row>
    <row r="51" spans="2:11">
      <c r="B51" s="26" t="s">
        <v>945</v>
      </c>
      <c r="C51" s="26"/>
      <c r="D51" s="26">
        <v>0</v>
      </c>
      <c r="E51" s="153">
        <v>24772735</v>
      </c>
      <c r="F51" s="153">
        <v>1078716</v>
      </c>
      <c r="G51" s="153">
        <v>17905364</v>
      </c>
      <c r="H51" s="153">
        <v>3707977</v>
      </c>
      <c r="I51" s="153">
        <v>3206483</v>
      </c>
      <c r="J51" s="153"/>
      <c r="K51" s="155">
        <f>SUM(D51:I51)</f>
        <v>50671275</v>
      </c>
    </row>
    <row r="52" spans="2:11">
      <c r="B52" s="26" t="s">
        <v>900</v>
      </c>
      <c r="C52" s="26"/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/>
      <c r="K52" s="155">
        <f>SUM(D52:I52)</f>
        <v>0</v>
      </c>
    </row>
    <row r="53" spans="2:11" ht="15.75" thickBot="1">
      <c r="B53" s="1515" t="s">
        <v>905</v>
      </c>
      <c r="C53" s="1516"/>
      <c r="D53" s="1515">
        <v>0</v>
      </c>
      <c r="E53" s="1517">
        <v>596752.5</v>
      </c>
      <c r="F53" s="1517">
        <v>88408.63</v>
      </c>
      <c r="G53" s="1517">
        <v>-76664.5</v>
      </c>
      <c r="H53" s="1517">
        <v>454605</v>
      </c>
      <c r="I53" s="1517">
        <v>340642.5</v>
      </c>
      <c r="J53" s="1517"/>
      <c r="K53" s="1518">
        <f>SUM(D53:I53)</f>
        <v>1403744.13</v>
      </c>
    </row>
    <row r="54" spans="2:11">
      <c r="B54" s="1504" t="s">
        <v>946</v>
      </c>
      <c r="C54" s="1505"/>
      <c r="D54" s="1519">
        <v>0</v>
      </c>
      <c r="E54" s="1507">
        <f>SUM(E51:E53)</f>
        <v>25369487.5</v>
      </c>
      <c r="F54" s="1507">
        <f>SUM(F51:F53)</f>
        <v>1167124.6299999999</v>
      </c>
      <c r="G54" s="1507">
        <f>SUM(G51:G53)</f>
        <v>17828699.5</v>
      </c>
      <c r="H54" s="1507">
        <f>SUM(H51:H53)</f>
        <v>4162582</v>
      </c>
      <c r="I54" s="1507">
        <f>SUM(I51:I53)</f>
        <v>3547125.5</v>
      </c>
      <c r="J54" s="1507"/>
      <c r="K54" s="1520">
        <f>SUM(D54:I54)</f>
        <v>52075019.129999995</v>
      </c>
    </row>
    <row r="55" spans="2:11" ht="15.75" thickBot="1">
      <c r="B55" s="1509" t="s">
        <v>947</v>
      </c>
      <c r="C55" s="1510"/>
      <c r="D55" s="1510">
        <v>0</v>
      </c>
      <c r="E55" s="1513">
        <f>E49-E54</f>
        <v>4177267.5</v>
      </c>
      <c r="F55" s="1513">
        <f>F49-F54</f>
        <v>618860.37000000011</v>
      </c>
      <c r="G55" s="1513">
        <f>G49-G54</f>
        <v>-229993.5</v>
      </c>
      <c r="H55" s="1513">
        <f>H49-H54</f>
        <v>1060745</v>
      </c>
      <c r="I55" s="1513">
        <f>I49-I54</f>
        <v>2384497.5</v>
      </c>
      <c r="J55" s="1513"/>
      <c r="K55" s="1514">
        <f>SUM(D55:I55)</f>
        <v>8011376.8700000001</v>
      </c>
    </row>
  </sheetData>
  <pageMargins left="0.7" right="0.7" top="0.75" bottom="0.75" header="0.3" footer="0.3"/>
  <pageSetup orientation="portrait" verticalDpi="0" r:id="rId1"/>
  <ignoredErrors>
    <ignoredError sqref="K35:K37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AA55"/>
  <sheetViews>
    <sheetView zoomScale="90" zoomScaleNormal="90" workbookViewId="0">
      <pane xSplit="4" ySplit="6" topLeftCell="P37" activePane="bottomRight" state="frozen"/>
      <selection pane="topRight" activeCell="E1" sqref="E1"/>
      <selection pane="bottomLeft" activeCell="A7" sqref="A7"/>
      <selection pane="bottomRight" activeCell="W46" sqref="W46"/>
    </sheetView>
  </sheetViews>
  <sheetFormatPr defaultColWidth="9.28515625" defaultRowHeight="12.75"/>
  <cols>
    <col min="1" max="1" width="4.28515625" style="1094" customWidth="1"/>
    <col min="2" max="2" width="4.42578125" style="1094" customWidth="1"/>
    <col min="3" max="3" width="18" style="1094" customWidth="1"/>
    <col min="4" max="4" width="38.5703125" style="1218" customWidth="1"/>
    <col min="5" max="5" width="25.140625" style="1094" customWidth="1"/>
    <col min="6" max="6" width="20.7109375" style="1094" bestFit="1" customWidth="1"/>
    <col min="7" max="7" width="22.7109375" style="1219" bestFit="1" customWidth="1"/>
    <col min="8" max="8" width="26.85546875" style="1094" customWidth="1"/>
    <col min="9" max="9" width="25" style="1094" customWidth="1"/>
    <col min="10" max="10" width="9.28515625" style="1094"/>
    <col min="11" max="11" width="6.42578125" style="1094" bestFit="1" customWidth="1"/>
    <col min="12" max="12" width="5.28515625" style="1094" bestFit="1" customWidth="1"/>
    <col min="13" max="15" width="6.28515625" style="1094" bestFit="1" customWidth="1"/>
    <col min="16" max="16" width="5.5703125" style="1094" bestFit="1" customWidth="1"/>
    <col min="17" max="17" width="5.42578125" style="1094" bestFit="1" customWidth="1"/>
    <col min="18" max="18" width="6.7109375" style="1094" bestFit="1" customWidth="1"/>
    <col min="19" max="19" width="5.7109375" style="1094" bestFit="1" customWidth="1"/>
    <col min="20" max="20" width="6.7109375" style="1094" bestFit="1" customWidth="1"/>
    <col min="21" max="21" width="5.7109375" style="1094" bestFit="1" customWidth="1"/>
    <col min="22" max="22" width="21.7109375" style="1602" customWidth="1"/>
    <col min="23" max="23" width="17.7109375" style="1220" customWidth="1"/>
    <col min="24" max="24" width="16.7109375" style="1220" bestFit="1" customWidth="1"/>
    <col min="25" max="27" width="15.42578125" style="1094" bestFit="1" customWidth="1"/>
    <col min="28" max="16384" width="9.28515625" style="1094"/>
  </cols>
  <sheetData>
    <row r="1" spans="2:27" ht="13.5" thickBot="1"/>
    <row r="2" spans="2:27" ht="14.25" customHeight="1" thickBot="1">
      <c r="B2" s="1561"/>
      <c r="C2" s="2053" t="s">
        <v>846</v>
      </c>
      <c r="D2" s="2054"/>
      <c r="E2" s="2054"/>
      <c r="F2" s="2054"/>
      <c r="G2" s="2054"/>
      <c r="H2" s="2054"/>
      <c r="I2" s="2054"/>
      <c r="J2" s="2054"/>
      <c r="K2" s="2054"/>
      <c r="L2" s="2054"/>
      <c r="M2" s="2054"/>
      <c r="N2" s="2054"/>
      <c r="O2" s="2054"/>
      <c r="P2" s="2054"/>
      <c r="Q2" s="2054"/>
      <c r="R2" s="2054"/>
      <c r="S2" s="2054"/>
      <c r="T2" s="2054"/>
      <c r="U2" s="2054"/>
      <c r="V2" s="2054"/>
      <c r="W2" s="2054"/>
      <c r="X2" s="2054"/>
      <c r="Y2" s="2054"/>
      <c r="Z2" s="2054"/>
      <c r="AA2" s="2055"/>
    </row>
    <row r="3" spans="2:27" ht="15" customHeight="1" thickBot="1">
      <c r="B3" s="1095"/>
      <c r="C3" s="1096" t="s">
        <v>609</v>
      </c>
      <c r="D3" s="1097"/>
      <c r="E3" s="1098"/>
      <c r="F3" s="1099"/>
      <c r="G3" s="1100" t="s">
        <v>610</v>
      </c>
      <c r="H3" s="1098"/>
      <c r="I3" s="1098"/>
      <c r="J3" s="1101" t="s">
        <v>611</v>
      </c>
      <c r="K3" s="1102"/>
      <c r="L3" s="1102"/>
      <c r="M3" s="1102"/>
      <c r="N3" s="1102"/>
      <c r="O3" s="1102"/>
      <c r="P3" s="1102"/>
      <c r="Q3" s="1102"/>
      <c r="R3" s="1102"/>
      <c r="S3" s="1102"/>
      <c r="T3" s="1102"/>
      <c r="U3" s="1103"/>
      <c r="V3" s="1777" t="s">
        <v>612</v>
      </c>
      <c r="W3" s="1104" t="s">
        <v>613</v>
      </c>
      <c r="X3" s="1105"/>
      <c r="Y3" s="1106"/>
      <c r="Z3" s="1106"/>
      <c r="AA3" s="1107"/>
    </row>
    <row r="4" spans="2:27" s="1119" customFormat="1" ht="26.25" thickBot="1">
      <c r="B4" s="1108" t="s">
        <v>313</v>
      </c>
      <c r="C4" s="1109" t="s">
        <v>614</v>
      </c>
      <c r="D4" s="1110" t="s">
        <v>609</v>
      </c>
      <c r="E4" s="1109" t="s">
        <v>615</v>
      </c>
      <c r="F4" s="1111" t="s">
        <v>616</v>
      </c>
      <c r="G4" s="1112" t="s">
        <v>617</v>
      </c>
      <c r="H4" s="1111" t="s">
        <v>618</v>
      </c>
      <c r="I4" s="1111" t="s">
        <v>619</v>
      </c>
      <c r="J4" s="1113" t="s">
        <v>620</v>
      </c>
      <c r="K4" s="1114" t="s">
        <v>621</v>
      </c>
      <c r="L4" s="1114" t="s">
        <v>622</v>
      </c>
      <c r="M4" s="1114" t="s">
        <v>623</v>
      </c>
      <c r="N4" s="1114" t="s">
        <v>624</v>
      </c>
      <c r="O4" s="1114" t="s">
        <v>625</v>
      </c>
      <c r="P4" s="1114" t="s">
        <v>626</v>
      </c>
      <c r="Q4" s="1114" t="s">
        <v>627</v>
      </c>
      <c r="R4" s="1114" t="s">
        <v>628</v>
      </c>
      <c r="S4" s="1114" t="s">
        <v>629</v>
      </c>
      <c r="T4" s="1114" t="s">
        <v>630</v>
      </c>
      <c r="U4" s="1115" t="s">
        <v>631</v>
      </c>
      <c r="V4" s="1603" t="s">
        <v>649</v>
      </c>
      <c r="W4" s="1116" t="s">
        <v>632</v>
      </c>
      <c r="X4" s="1116" t="s">
        <v>633</v>
      </c>
      <c r="Y4" s="1117" t="s">
        <v>634</v>
      </c>
      <c r="Z4" s="1117" t="s">
        <v>635</v>
      </c>
      <c r="AA4" s="1118" t="s">
        <v>650</v>
      </c>
    </row>
    <row r="5" spans="2:27" ht="39" customHeight="1" thickBot="1">
      <c r="B5" s="1108"/>
      <c r="C5" s="1120" t="s">
        <v>636</v>
      </c>
      <c r="D5" s="1120" t="s">
        <v>637</v>
      </c>
      <c r="E5" s="1120" t="s">
        <v>638</v>
      </c>
      <c r="F5" s="1120" t="s">
        <v>639</v>
      </c>
      <c r="G5" s="1121" t="s">
        <v>640</v>
      </c>
      <c r="H5" s="1120" t="s">
        <v>641</v>
      </c>
      <c r="I5" s="1122" t="s">
        <v>642</v>
      </c>
      <c r="J5" s="2056" t="s">
        <v>643</v>
      </c>
      <c r="K5" s="2057"/>
      <c r="L5" s="2057"/>
      <c r="M5" s="2057"/>
      <c r="N5" s="2057"/>
      <c r="O5" s="2057"/>
      <c r="P5" s="2057"/>
      <c r="Q5" s="2057"/>
      <c r="R5" s="2057"/>
      <c r="S5" s="2057"/>
      <c r="T5" s="2057"/>
      <c r="U5" s="2058"/>
      <c r="V5" s="2059"/>
      <c r="W5" s="2059"/>
      <c r="X5" s="2059"/>
      <c r="Y5" s="2059"/>
      <c r="Z5" s="2059"/>
      <c r="AA5" s="2060"/>
    </row>
    <row r="6" spans="2:27" s="1134" customFormat="1" ht="28.5" customHeight="1">
      <c r="B6" s="1123"/>
      <c r="C6" s="1124"/>
      <c r="D6" s="1125" t="s">
        <v>644</v>
      </c>
      <c r="E6" s="1124"/>
      <c r="F6" s="1124"/>
      <c r="G6" s="1126"/>
      <c r="H6" s="1124"/>
      <c r="I6" s="1127"/>
      <c r="J6" s="1128"/>
      <c r="K6" s="1129"/>
      <c r="L6" s="1129"/>
      <c r="M6" s="1129"/>
      <c r="N6" s="1129"/>
      <c r="O6" s="1129"/>
      <c r="P6" s="1129"/>
      <c r="Q6" s="1129"/>
      <c r="R6" s="1129"/>
      <c r="S6" s="1129"/>
      <c r="T6" s="1129"/>
      <c r="U6" s="1130"/>
      <c r="V6" s="1604"/>
      <c r="W6" s="1131"/>
      <c r="X6" s="1132"/>
      <c r="Y6" s="1132"/>
      <c r="Z6" s="1132"/>
      <c r="AA6" s="1133"/>
    </row>
    <row r="7" spans="2:27" s="1134" customFormat="1" ht="29.25" customHeight="1">
      <c r="B7" s="1123">
        <v>1</v>
      </c>
      <c r="C7" s="1135"/>
      <c r="D7" s="1136" t="s">
        <v>1059</v>
      </c>
      <c r="E7" s="1136"/>
      <c r="F7" s="1137"/>
      <c r="G7" s="1138"/>
      <c r="H7" s="1136"/>
      <c r="I7" s="1136" t="s">
        <v>844</v>
      </c>
      <c r="J7" s="1139"/>
      <c r="K7" s="1140" t="s">
        <v>845</v>
      </c>
      <c r="L7" s="1140"/>
      <c r="M7" s="1140"/>
      <c r="N7" s="1140" t="s">
        <v>845</v>
      </c>
      <c r="O7" s="1140"/>
      <c r="P7" s="1140"/>
      <c r="Q7" s="1140" t="s">
        <v>845</v>
      </c>
      <c r="R7" s="1140"/>
      <c r="S7" s="1140"/>
      <c r="T7" s="1140" t="s">
        <v>845</v>
      </c>
      <c r="U7" s="1783"/>
      <c r="V7" s="1785">
        <v>333900</v>
      </c>
      <c r="W7" s="1780">
        <f t="shared" ref="W7:AA8" si="0">V7*1.01</f>
        <v>337239</v>
      </c>
      <c r="X7" s="1141">
        <f t="shared" si="0"/>
        <v>340611.39</v>
      </c>
      <c r="Y7" s="1141">
        <f t="shared" si="0"/>
        <v>344017.50390000001</v>
      </c>
      <c r="Z7" s="1141">
        <f t="shared" si="0"/>
        <v>347457.678939</v>
      </c>
      <c r="AA7" s="1141">
        <f t="shared" si="0"/>
        <v>350932.25572839001</v>
      </c>
    </row>
    <row r="8" spans="2:27" s="1134" customFormat="1" ht="45.75" customHeight="1">
      <c r="B8" s="1123"/>
      <c r="C8" s="1136"/>
      <c r="D8" s="1136" t="s">
        <v>1060</v>
      </c>
      <c r="E8" s="1136"/>
      <c r="F8" s="1137"/>
      <c r="G8" s="1138"/>
      <c r="H8" s="1136"/>
      <c r="I8" s="1136" t="s">
        <v>844</v>
      </c>
      <c r="J8" s="1139"/>
      <c r="K8" s="1140" t="s">
        <v>845</v>
      </c>
      <c r="L8" s="1140"/>
      <c r="M8" s="1142"/>
      <c r="N8" s="1140" t="s">
        <v>845</v>
      </c>
      <c r="O8" s="1142"/>
      <c r="P8" s="1142"/>
      <c r="Q8" s="1140" t="s">
        <v>845</v>
      </c>
      <c r="R8" s="1142"/>
      <c r="S8" s="1142"/>
      <c r="T8" s="1140" t="s">
        <v>845</v>
      </c>
      <c r="U8" s="1779"/>
      <c r="V8" s="1785">
        <v>1274031</v>
      </c>
      <c r="W8" s="1780">
        <f t="shared" si="0"/>
        <v>1286771.31</v>
      </c>
      <c r="X8" s="1141">
        <f t="shared" si="0"/>
        <v>1299639.0231000001</v>
      </c>
      <c r="Y8" s="1141">
        <f t="shared" si="0"/>
        <v>1312635.4133310001</v>
      </c>
      <c r="Z8" s="1141">
        <f t="shared" si="0"/>
        <v>1325761.7674643102</v>
      </c>
      <c r="AA8" s="1141">
        <f t="shared" si="0"/>
        <v>1339019.3851389533</v>
      </c>
    </row>
    <row r="9" spans="2:27" s="1134" customFormat="1" ht="30" customHeight="1">
      <c r="B9" s="1123"/>
      <c r="C9" s="1136"/>
      <c r="D9" s="1147" t="s">
        <v>645</v>
      </c>
      <c r="E9" s="1136"/>
      <c r="F9" s="1137"/>
      <c r="G9" s="1138"/>
      <c r="H9" s="1136"/>
      <c r="I9" s="1136"/>
      <c r="J9" s="1139"/>
      <c r="K9" s="1140"/>
      <c r="L9" s="1140"/>
      <c r="M9" s="1142"/>
      <c r="N9" s="1140"/>
      <c r="O9" s="1142"/>
      <c r="P9" s="1142"/>
      <c r="Q9" s="1140"/>
      <c r="R9" s="1142"/>
      <c r="S9" s="1142"/>
      <c r="T9" s="1140"/>
      <c r="U9" s="1779"/>
      <c r="V9" s="1786">
        <f>SUM(V7:V8)</f>
        <v>1607931</v>
      </c>
      <c r="W9" s="1784">
        <f t="shared" ref="W9:AA9" si="1">SUM(W7:W8)</f>
        <v>1624010.31</v>
      </c>
      <c r="X9" s="1782">
        <f t="shared" si="1"/>
        <v>1640250.4131</v>
      </c>
      <c r="Y9" s="1782">
        <f t="shared" si="1"/>
        <v>1656652.917231</v>
      </c>
      <c r="Z9" s="1782">
        <f t="shared" si="1"/>
        <v>1673219.4464033102</v>
      </c>
      <c r="AA9" s="1782">
        <f t="shared" si="1"/>
        <v>1689951.6408673434</v>
      </c>
    </row>
    <row r="10" spans="2:27" s="1134" customFormat="1" ht="27.75" customHeight="1">
      <c r="B10" s="1123"/>
      <c r="C10" s="1144"/>
      <c r="D10" s="1817" t="s">
        <v>1061</v>
      </c>
      <c r="E10" s="1144"/>
      <c r="F10" s="1137"/>
      <c r="G10" s="1138"/>
      <c r="H10" s="1136"/>
      <c r="I10" s="1136"/>
      <c r="J10" s="1139"/>
      <c r="K10" s="1140"/>
      <c r="L10" s="1140"/>
      <c r="M10" s="1142"/>
      <c r="N10" s="1140"/>
      <c r="O10" s="1142"/>
      <c r="P10" s="1142"/>
      <c r="Q10" s="1140"/>
      <c r="R10" s="1142"/>
      <c r="S10" s="1142"/>
      <c r="T10" s="1140" t="s">
        <v>845</v>
      </c>
      <c r="U10" s="1143"/>
      <c r="V10" s="1145"/>
      <c r="W10" s="1141"/>
      <c r="X10" s="1141"/>
      <c r="Y10" s="1141"/>
      <c r="Z10" s="1141"/>
      <c r="AA10" s="1141"/>
    </row>
    <row r="11" spans="2:27" s="1134" customFormat="1" ht="25.5">
      <c r="B11" s="1123"/>
      <c r="C11" s="1144"/>
      <c r="D11" s="1136" t="s">
        <v>1062</v>
      </c>
      <c r="E11" s="1144"/>
      <c r="F11" s="1137"/>
      <c r="G11" s="1138"/>
      <c r="H11" s="1136"/>
      <c r="I11" s="1136" t="s">
        <v>844</v>
      </c>
      <c r="J11" s="1139"/>
      <c r="K11" s="1140" t="s">
        <v>845</v>
      </c>
      <c r="L11" s="1140"/>
      <c r="M11" s="1142"/>
      <c r="N11" s="1140" t="s">
        <v>845</v>
      </c>
      <c r="O11" s="1142"/>
      <c r="P11" s="1142"/>
      <c r="Q11" s="1140" t="s">
        <v>845</v>
      </c>
      <c r="R11" s="1142"/>
      <c r="S11" s="1142"/>
      <c r="T11" s="1140" t="s">
        <v>845</v>
      </c>
      <c r="U11" s="1779"/>
      <c r="V11" s="1573">
        <v>634000</v>
      </c>
      <c r="W11" s="1141">
        <f>V11*1.01</f>
        <v>640340</v>
      </c>
      <c r="X11" s="1141">
        <f>W11*1.01</f>
        <v>646743.4</v>
      </c>
      <c r="Y11" s="1141">
        <f>X11*1.01</f>
        <v>653210.83400000003</v>
      </c>
      <c r="Z11" s="1141">
        <f>Y11*1.01</f>
        <v>659742.94234000007</v>
      </c>
      <c r="AA11" s="1141">
        <f>Z11*1.01</f>
        <v>666340.37176340003</v>
      </c>
    </row>
    <row r="12" spans="2:27" s="1134" customFormat="1" ht="38.25">
      <c r="B12" s="1123"/>
      <c r="C12" s="1136"/>
      <c r="D12" s="1136" t="s">
        <v>1063</v>
      </c>
      <c r="E12" s="1136"/>
      <c r="F12" s="1137"/>
      <c r="G12" s="1138"/>
      <c r="H12" s="1136"/>
      <c r="I12" s="1136" t="s">
        <v>844</v>
      </c>
      <c r="J12" s="1139"/>
      <c r="K12" s="1140" t="s">
        <v>845</v>
      </c>
      <c r="L12" s="1140"/>
      <c r="M12" s="1142"/>
      <c r="N12" s="1140" t="s">
        <v>845</v>
      </c>
      <c r="O12" s="1142"/>
      <c r="P12" s="1142"/>
      <c r="Q12" s="1140" t="s">
        <v>845</v>
      </c>
      <c r="R12" s="1142"/>
      <c r="S12" s="1142"/>
      <c r="T12" s="1140" t="s">
        <v>845</v>
      </c>
      <c r="U12" s="1779"/>
      <c r="V12" s="1573">
        <v>714600</v>
      </c>
      <c r="W12" s="1141">
        <f t="shared" ref="W12:AA34" si="2">V12*1.01</f>
        <v>721746</v>
      </c>
      <c r="X12" s="1141">
        <f t="shared" si="2"/>
        <v>728963.46</v>
      </c>
      <c r="Y12" s="1141">
        <f t="shared" si="2"/>
        <v>736253.09459999995</v>
      </c>
      <c r="Z12" s="1141">
        <f t="shared" si="2"/>
        <v>743615.62554599997</v>
      </c>
      <c r="AA12" s="1141">
        <f t="shared" si="2"/>
        <v>751051.78180145996</v>
      </c>
    </row>
    <row r="13" spans="2:27" s="1134" customFormat="1" ht="15">
      <c r="B13" s="1123"/>
      <c r="C13" s="1136"/>
      <c r="D13" s="1136" t="s">
        <v>1064</v>
      </c>
      <c r="E13" s="1136"/>
      <c r="F13" s="1137"/>
      <c r="G13" s="1138"/>
      <c r="H13" s="1136"/>
      <c r="I13" s="1136" t="s">
        <v>844</v>
      </c>
      <c r="J13" s="1139"/>
      <c r="K13" s="1140" t="s">
        <v>845</v>
      </c>
      <c r="L13" s="1140"/>
      <c r="M13" s="1142"/>
      <c r="N13" s="1140" t="s">
        <v>845</v>
      </c>
      <c r="O13" s="1142"/>
      <c r="P13" s="1142"/>
      <c r="Q13" s="1140" t="s">
        <v>845</v>
      </c>
      <c r="R13" s="1142"/>
      <c r="S13" s="1142"/>
      <c r="T13" s="1140" t="s">
        <v>845</v>
      </c>
      <c r="U13" s="1779"/>
      <c r="V13" s="1573">
        <v>415484</v>
      </c>
      <c r="W13" s="1141">
        <f t="shared" si="2"/>
        <v>419638.84</v>
      </c>
      <c r="X13" s="1141">
        <f t="shared" si="2"/>
        <v>423835.22840000002</v>
      </c>
      <c r="Y13" s="1141">
        <f t="shared" si="2"/>
        <v>428073.58068400004</v>
      </c>
      <c r="Z13" s="1141">
        <f t="shared" si="2"/>
        <v>432354.31649084005</v>
      </c>
      <c r="AA13" s="1141">
        <f t="shared" si="2"/>
        <v>436677.85965574847</v>
      </c>
    </row>
    <row r="14" spans="2:27" s="1134" customFormat="1" ht="25.5">
      <c r="B14" s="1123"/>
      <c r="C14" s="1136"/>
      <c r="D14" s="1136" t="s">
        <v>1065</v>
      </c>
      <c r="E14" s="1136"/>
      <c r="F14" s="1137"/>
      <c r="G14" s="1138"/>
      <c r="H14" s="1136"/>
      <c r="I14" s="1136" t="s">
        <v>844</v>
      </c>
      <c r="J14" s="1139"/>
      <c r="K14" s="1140" t="s">
        <v>845</v>
      </c>
      <c r="L14" s="1140"/>
      <c r="M14" s="1142"/>
      <c r="N14" s="1140" t="s">
        <v>845</v>
      </c>
      <c r="O14" s="1142"/>
      <c r="P14" s="1142"/>
      <c r="Q14" s="1140" t="s">
        <v>845</v>
      </c>
      <c r="R14" s="1142"/>
      <c r="S14" s="1142"/>
      <c r="T14" s="1140" t="s">
        <v>845</v>
      </c>
      <c r="U14" s="1779"/>
      <c r="V14" s="1573">
        <v>4045800</v>
      </c>
      <c r="W14" s="1141">
        <f t="shared" si="2"/>
        <v>4086258</v>
      </c>
      <c r="X14" s="1141">
        <f t="shared" si="2"/>
        <v>4127120.58</v>
      </c>
      <c r="Y14" s="1141">
        <f t="shared" si="2"/>
        <v>4168391.7858000002</v>
      </c>
      <c r="Z14" s="1141">
        <f t="shared" si="2"/>
        <v>4210075.7036580006</v>
      </c>
      <c r="AA14" s="1141">
        <f t="shared" si="2"/>
        <v>4252176.4606945803</v>
      </c>
    </row>
    <row r="15" spans="2:27" s="1134" customFormat="1" ht="25.5">
      <c r="B15" s="1123"/>
      <c r="C15" s="1136"/>
      <c r="D15" s="1136" t="s">
        <v>1066</v>
      </c>
      <c r="E15" s="1136"/>
      <c r="F15" s="1137"/>
      <c r="G15" s="1138"/>
      <c r="H15" s="1136"/>
      <c r="I15" s="1136" t="s">
        <v>844</v>
      </c>
      <c r="J15" s="1139"/>
      <c r="K15" s="1140" t="s">
        <v>845</v>
      </c>
      <c r="L15" s="1140"/>
      <c r="M15" s="1142"/>
      <c r="N15" s="1140" t="s">
        <v>845</v>
      </c>
      <c r="O15" s="1142"/>
      <c r="P15" s="1142"/>
      <c r="Q15" s="1140" t="s">
        <v>845</v>
      </c>
      <c r="R15" s="1142"/>
      <c r="S15" s="1142"/>
      <c r="T15" s="1140" t="s">
        <v>845</v>
      </c>
      <c r="U15" s="1779"/>
      <c r="V15" s="1573">
        <v>348000</v>
      </c>
      <c r="W15" s="1141">
        <f t="shared" si="2"/>
        <v>351480</v>
      </c>
      <c r="X15" s="1141">
        <f t="shared" si="2"/>
        <v>354994.8</v>
      </c>
      <c r="Y15" s="1141">
        <f t="shared" si="2"/>
        <v>358544.74799999996</v>
      </c>
      <c r="Z15" s="1141">
        <f t="shared" si="2"/>
        <v>362130.19547999999</v>
      </c>
      <c r="AA15" s="1141">
        <f t="shared" si="2"/>
        <v>365751.49743480003</v>
      </c>
    </row>
    <row r="16" spans="2:27" s="1134" customFormat="1" ht="25.5">
      <c r="B16" s="1123"/>
      <c r="C16" s="1136"/>
      <c r="D16" s="1136" t="s">
        <v>1067</v>
      </c>
      <c r="E16" s="1136"/>
      <c r="F16" s="1137"/>
      <c r="G16" s="1138"/>
      <c r="H16" s="1136"/>
      <c r="I16" s="1136" t="s">
        <v>844</v>
      </c>
      <c r="J16" s="1139"/>
      <c r="K16" s="1140" t="s">
        <v>845</v>
      </c>
      <c r="L16" s="1140"/>
      <c r="M16" s="1142"/>
      <c r="N16" s="1140" t="s">
        <v>845</v>
      </c>
      <c r="O16" s="1142"/>
      <c r="P16" s="1142"/>
      <c r="Q16" s="1140" t="s">
        <v>845</v>
      </c>
      <c r="R16" s="1142"/>
      <c r="S16" s="1142"/>
      <c r="T16" s="1140" t="s">
        <v>845</v>
      </c>
      <c r="U16" s="1779"/>
      <c r="V16" s="1573">
        <v>542650</v>
      </c>
      <c r="W16" s="1141">
        <f t="shared" si="2"/>
        <v>548076.5</v>
      </c>
      <c r="X16" s="1141">
        <f t="shared" si="2"/>
        <v>553557.26500000001</v>
      </c>
      <c r="Y16" s="1141">
        <f t="shared" si="2"/>
        <v>559092.83765</v>
      </c>
      <c r="Z16" s="1141">
        <f t="shared" si="2"/>
        <v>564683.76602650003</v>
      </c>
      <c r="AA16" s="1141">
        <f t="shared" si="2"/>
        <v>570330.60368676507</v>
      </c>
    </row>
    <row r="17" spans="2:27" s="1134" customFormat="1" ht="25.5">
      <c r="B17" s="1123"/>
      <c r="C17" s="1136"/>
      <c r="D17" s="1136" t="s">
        <v>1068</v>
      </c>
      <c r="E17" s="1136"/>
      <c r="F17" s="1137"/>
      <c r="G17" s="1138"/>
      <c r="H17" s="1136"/>
      <c r="I17" s="1136" t="s">
        <v>844</v>
      </c>
      <c r="J17" s="1139"/>
      <c r="K17" s="1140" t="s">
        <v>845</v>
      </c>
      <c r="L17" s="1140"/>
      <c r="M17" s="1142"/>
      <c r="N17" s="1140" t="s">
        <v>845</v>
      </c>
      <c r="O17" s="1142"/>
      <c r="P17" s="1142"/>
      <c r="Q17" s="1140" t="s">
        <v>845</v>
      </c>
      <c r="R17" s="1142"/>
      <c r="S17" s="1142"/>
      <c r="T17" s="1140" t="s">
        <v>845</v>
      </c>
      <c r="U17" s="1779"/>
      <c r="V17" s="1573">
        <v>2446500</v>
      </c>
      <c r="W17" s="1141">
        <f t="shared" si="2"/>
        <v>2470965</v>
      </c>
      <c r="X17" s="1141">
        <f t="shared" si="2"/>
        <v>2495674.65</v>
      </c>
      <c r="Y17" s="1141">
        <f t="shared" si="2"/>
        <v>2520631.3964999998</v>
      </c>
      <c r="Z17" s="1141">
        <f t="shared" si="2"/>
        <v>2545837.710465</v>
      </c>
      <c r="AA17" s="1141">
        <f t="shared" si="2"/>
        <v>2571296.0875696503</v>
      </c>
    </row>
    <row r="18" spans="2:27" s="1134" customFormat="1" ht="33.75" customHeight="1">
      <c r="B18" s="1123"/>
      <c r="C18" s="1136"/>
      <c r="D18" s="1136" t="s">
        <v>1069</v>
      </c>
      <c r="E18" s="1136"/>
      <c r="F18" s="1137"/>
      <c r="G18" s="1138"/>
      <c r="H18" s="1136"/>
      <c r="I18" s="1136" t="s">
        <v>844</v>
      </c>
      <c r="J18" s="1139"/>
      <c r="K18" s="1140" t="s">
        <v>845</v>
      </c>
      <c r="L18" s="1140"/>
      <c r="M18" s="1142"/>
      <c r="N18" s="1140" t="s">
        <v>845</v>
      </c>
      <c r="O18" s="1142"/>
      <c r="P18" s="1142"/>
      <c r="Q18" s="1140" t="s">
        <v>845</v>
      </c>
      <c r="R18" s="1142"/>
      <c r="S18" s="1142"/>
      <c r="T18" s="1140" t="s">
        <v>845</v>
      </c>
      <c r="U18" s="1779"/>
      <c r="V18" s="1573">
        <v>3605450</v>
      </c>
      <c r="W18" s="1141">
        <f t="shared" si="2"/>
        <v>3641504.5</v>
      </c>
      <c r="X18" s="1141">
        <f t="shared" si="2"/>
        <v>3677919.5449999999</v>
      </c>
      <c r="Y18" s="1141">
        <f t="shared" si="2"/>
        <v>3714698.7404499999</v>
      </c>
      <c r="Z18" s="1141">
        <f t="shared" si="2"/>
        <v>3751845.7278545001</v>
      </c>
      <c r="AA18" s="1141">
        <f t="shared" si="2"/>
        <v>3789364.1851330451</v>
      </c>
    </row>
    <row r="19" spans="2:27" s="1134" customFormat="1" ht="33.75" customHeight="1">
      <c r="B19" s="1123"/>
      <c r="C19" s="1136"/>
      <c r="D19" s="1136" t="s">
        <v>1070</v>
      </c>
      <c r="E19" s="1136"/>
      <c r="F19" s="1137"/>
      <c r="G19" s="1138"/>
      <c r="H19" s="1136"/>
      <c r="I19" s="1136" t="s">
        <v>844</v>
      </c>
      <c r="J19" s="1139"/>
      <c r="K19" s="1140" t="s">
        <v>845</v>
      </c>
      <c r="L19" s="1140"/>
      <c r="M19" s="1142"/>
      <c r="N19" s="1140" t="s">
        <v>845</v>
      </c>
      <c r="O19" s="1142"/>
      <c r="P19" s="1142"/>
      <c r="Q19" s="1140" t="s">
        <v>845</v>
      </c>
      <c r="R19" s="1142"/>
      <c r="S19" s="1142"/>
      <c r="T19" s="1140" t="s">
        <v>845</v>
      </c>
      <c r="U19" s="1779"/>
      <c r="V19" s="1573">
        <v>2400000</v>
      </c>
      <c r="W19" s="1141">
        <f t="shared" si="2"/>
        <v>2424000</v>
      </c>
      <c r="X19" s="1141">
        <f t="shared" si="2"/>
        <v>2448240</v>
      </c>
      <c r="Y19" s="1141">
        <f t="shared" si="2"/>
        <v>2472722.4</v>
      </c>
      <c r="Z19" s="1141">
        <f t="shared" si="2"/>
        <v>2497449.6239999998</v>
      </c>
      <c r="AA19" s="1141">
        <f t="shared" si="2"/>
        <v>2522424.1202400001</v>
      </c>
    </row>
    <row r="20" spans="2:27" s="1136" customFormat="1" ht="33.75" customHeight="1">
      <c r="D20" s="1136" t="s">
        <v>1071</v>
      </c>
      <c r="I20" s="1136" t="s">
        <v>844</v>
      </c>
      <c r="J20" s="1139"/>
      <c r="K20" s="1140" t="s">
        <v>845</v>
      </c>
      <c r="L20" s="1140"/>
      <c r="M20" s="1142"/>
      <c r="N20" s="1140" t="s">
        <v>845</v>
      </c>
      <c r="O20" s="1142"/>
      <c r="P20" s="1142"/>
      <c r="Q20" s="1140" t="s">
        <v>845</v>
      </c>
      <c r="R20" s="1142"/>
      <c r="S20" s="1142"/>
      <c r="T20" s="1140" t="s">
        <v>845</v>
      </c>
      <c r="U20" s="1779"/>
      <c r="V20" s="1573">
        <v>920000</v>
      </c>
      <c r="W20" s="1141">
        <f t="shared" si="2"/>
        <v>929200</v>
      </c>
      <c r="X20" s="1141">
        <f t="shared" si="2"/>
        <v>938492</v>
      </c>
      <c r="Y20" s="1141">
        <f t="shared" si="2"/>
        <v>947876.92</v>
      </c>
      <c r="Z20" s="1141">
        <f t="shared" si="2"/>
        <v>957355.68920000002</v>
      </c>
      <c r="AA20" s="1141">
        <f t="shared" si="2"/>
        <v>966929.24609200004</v>
      </c>
    </row>
    <row r="21" spans="2:27" s="1134" customFormat="1" ht="33.75" customHeight="1">
      <c r="B21" s="1123"/>
      <c r="C21" s="1136"/>
      <c r="D21" s="1136" t="s">
        <v>1072</v>
      </c>
      <c r="E21" s="1136"/>
      <c r="F21" s="1137"/>
      <c r="G21" s="1138"/>
      <c r="H21" s="1136"/>
      <c r="I21" s="1136" t="s">
        <v>844</v>
      </c>
      <c r="J21" s="1139"/>
      <c r="K21" s="1140" t="s">
        <v>845</v>
      </c>
      <c r="L21" s="1140"/>
      <c r="M21" s="1142"/>
      <c r="N21" s="1140" t="s">
        <v>845</v>
      </c>
      <c r="O21" s="1142"/>
      <c r="P21" s="1142"/>
      <c r="Q21" s="1140" t="s">
        <v>845</v>
      </c>
      <c r="R21" s="1142"/>
      <c r="S21" s="1142"/>
      <c r="T21" s="1140" t="s">
        <v>845</v>
      </c>
      <c r="U21" s="1779"/>
      <c r="V21" s="1573">
        <v>3267680</v>
      </c>
      <c r="W21" s="1141">
        <f t="shared" si="2"/>
        <v>3300356.8</v>
      </c>
      <c r="X21" s="1141">
        <f t="shared" si="2"/>
        <v>3333360.3679999998</v>
      </c>
      <c r="Y21" s="1141">
        <f t="shared" si="2"/>
        <v>3366693.97168</v>
      </c>
      <c r="Z21" s="1141">
        <f t="shared" si="2"/>
        <v>3400360.9113968001</v>
      </c>
      <c r="AA21" s="1141">
        <f t="shared" si="2"/>
        <v>3434364.5205107681</v>
      </c>
    </row>
    <row r="22" spans="2:27" s="1134" customFormat="1" ht="33.75" customHeight="1">
      <c r="B22" s="1123"/>
      <c r="C22" s="1136"/>
      <c r="D22" s="1136" t="s">
        <v>1073</v>
      </c>
      <c r="E22" s="1136"/>
      <c r="F22" s="1137"/>
      <c r="G22" s="1138"/>
      <c r="H22" s="1136"/>
      <c r="I22" s="1136" t="s">
        <v>844</v>
      </c>
      <c r="J22" s="1139"/>
      <c r="K22" s="1140" t="s">
        <v>845</v>
      </c>
      <c r="L22" s="1140"/>
      <c r="M22" s="1142"/>
      <c r="N22" s="1140" t="s">
        <v>845</v>
      </c>
      <c r="O22" s="1142"/>
      <c r="P22" s="1142"/>
      <c r="Q22" s="1140" t="s">
        <v>845</v>
      </c>
      <c r="R22" s="1142"/>
      <c r="S22" s="1142"/>
      <c r="T22" s="1140" t="s">
        <v>845</v>
      </c>
      <c r="U22" s="1779"/>
      <c r="V22" s="1573">
        <v>1906000</v>
      </c>
      <c r="W22" s="1141">
        <f t="shared" si="2"/>
        <v>1925060</v>
      </c>
      <c r="X22" s="1141">
        <f t="shared" si="2"/>
        <v>1944310.6</v>
      </c>
      <c r="Y22" s="1141">
        <f t="shared" si="2"/>
        <v>1963753.706</v>
      </c>
      <c r="Z22" s="1141">
        <f t="shared" si="2"/>
        <v>1983391.24306</v>
      </c>
      <c r="AA22" s="1141">
        <f t="shared" si="2"/>
        <v>2003225.1554906</v>
      </c>
    </row>
    <row r="23" spans="2:27" s="1134" customFormat="1" ht="33.75" customHeight="1">
      <c r="B23" s="1123"/>
      <c r="C23" s="1136"/>
      <c r="D23" s="1136" t="s">
        <v>1074</v>
      </c>
      <c r="E23" s="1136"/>
      <c r="F23" s="1137"/>
      <c r="G23" s="1138"/>
      <c r="H23" s="1136"/>
      <c r="I23" s="1136" t="s">
        <v>844</v>
      </c>
      <c r="J23" s="1139"/>
      <c r="K23" s="1140" t="s">
        <v>845</v>
      </c>
      <c r="L23" s="1140"/>
      <c r="M23" s="1142"/>
      <c r="N23" s="1140" t="s">
        <v>845</v>
      </c>
      <c r="O23" s="1142"/>
      <c r="P23" s="1142"/>
      <c r="Q23" s="1140" t="s">
        <v>845</v>
      </c>
      <c r="R23" s="1142"/>
      <c r="S23" s="1142"/>
      <c r="T23" s="1140" t="s">
        <v>845</v>
      </c>
      <c r="U23" s="1779"/>
      <c r="V23" s="1573">
        <v>345793</v>
      </c>
      <c r="W23" s="1141">
        <f t="shared" si="2"/>
        <v>349250.93</v>
      </c>
      <c r="X23" s="1141">
        <f t="shared" si="2"/>
        <v>352743.43929999997</v>
      </c>
      <c r="Y23" s="1141">
        <f t="shared" si="2"/>
        <v>356270.87369299994</v>
      </c>
      <c r="Z23" s="1141">
        <f t="shared" si="2"/>
        <v>359833.58242992993</v>
      </c>
      <c r="AA23" s="1141">
        <f t="shared" si="2"/>
        <v>363431.91825422924</v>
      </c>
    </row>
    <row r="24" spans="2:27" s="1134" customFormat="1" ht="33.75" customHeight="1">
      <c r="B24" s="1123"/>
      <c r="C24" s="1136"/>
      <c r="D24" s="1136" t="s">
        <v>1075</v>
      </c>
      <c r="E24" s="1136"/>
      <c r="F24" s="1137"/>
      <c r="G24" s="1138"/>
      <c r="H24" s="1136"/>
      <c r="I24" s="1136" t="s">
        <v>844</v>
      </c>
      <c r="J24" s="1139"/>
      <c r="K24" s="1140" t="s">
        <v>845</v>
      </c>
      <c r="L24" s="1140"/>
      <c r="M24" s="1142"/>
      <c r="N24" s="1140" t="s">
        <v>845</v>
      </c>
      <c r="O24" s="1142"/>
      <c r="P24" s="1142"/>
      <c r="Q24" s="1140" t="s">
        <v>845</v>
      </c>
      <c r="R24" s="1142"/>
      <c r="S24" s="1142"/>
      <c r="T24" s="1140" t="s">
        <v>845</v>
      </c>
      <c r="U24" s="1779"/>
      <c r="V24" s="1573">
        <v>3890400</v>
      </c>
      <c r="W24" s="1141">
        <f t="shared" si="2"/>
        <v>3929304</v>
      </c>
      <c r="X24" s="1141">
        <f t="shared" si="2"/>
        <v>3968597.04</v>
      </c>
      <c r="Y24" s="1141">
        <f t="shared" si="2"/>
        <v>4008283.0104</v>
      </c>
      <c r="Z24" s="1141">
        <f t="shared" si="2"/>
        <v>4048365.840504</v>
      </c>
      <c r="AA24" s="1141">
        <f t="shared" si="2"/>
        <v>4088849.4989090399</v>
      </c>
    </row>
    <row r="25" spans="2:27" s="1134" customFormat="1" ht="25.5">
      <c r="B25" s="1123"/>
      <c r="C25" s="1136"/>
      <c r="D25" s="1136" t="s">
        <v>1076</v>
      </c>
      <c r="E25" s="1136"/>
      <c r="F25" s="1137"/>
      <c r="G25" s="1138"/>
      <c r="H25" s="1136"/>
      <c r="I25" s="1136" t="s">
        <v>844</v>
      </c>
      <c r="J25" s="1139"/>
      <c r="K25" s="1140" t="s">
        <v>845</v>
      </c>
      <c r="L25" s="1140"/>
      <c r="M25" s="1142"/>
      <c r="N25" s="1140" t="s">
        <v>845</v>
      </c>
      <c r="O25" s="1142"/>
      <c r="P25" s="1142"/>
      <c r="Q25" s="1140" t="s">
        <v>845</v>
      </c>
      <c r="R25" s="1142"/>
      <c r="S25" s="1142"/>
      <c r="T25" s="1140" t="s">
        <v>845</v>
      </c>
      <c r="U25" s="1779"/>
      <c r="V25" s="1573">
        <v>1600057</v>
      </c>
      <c r="W25" s="1141">
        <f t="shared" si="2"/>
        <v>1616057.57</v>
      </c>
      <c r="X25" s="1141">
        <f t="shared" si="2"/>
        <v>1632218.1457</v>
      </c>
      <c r="Y25" s="1141">
        <f t="shared" si="2"/>
        <v>1648540.3271570001</v>
      </c>
      <c r="Z25" s="1141">
        <f t="shared" si="2"/>
        <v>1665025.7304285702</v>
      </c>
      <c r="AA25" s="1141">
        <f t="shared" si="2"/>
        <v>1681675.9877328558</v>
      </c>
    </row>
    <row r="26" spans="2:27" s="1134" customFormat="1" ht="25.5">
      <c r="B26" s="1123"/>
      <c r="C26" s="1136"/>
      <c r="D26" s="1136" t="s">
        <v>1077</v>
      </c>
      <c r="E26" s="1136"/>
      <c r="F26" s="1137"/>
      <c r="G26" s="1138"/>
      <c r="H26" s="1136"/>
      <c r="I26" s="1136" t="s">
        <v>844</v>
      </c>
      <c r="J26" s="1139"/>
      <c r="K26" s="1140" t="s">
        <v>845</v>
      </c>
      <c r="L26" s="1140"/>
      <c r="M26" s="1142"/>
      <c r="N26" s="1140" t="s">
        <v>845</v>
      </c>
      <c r="O26" s="1142"/>
      <c r="P26" s="1142"/>
      <c r="Q26" s="1140" t="s">
        <v>845</v>
      </c>
      <c r="R26" s="1142"/>
      <c r="S26" s="1142"/>
      <c r="T26" s="1140" t="s">
        <v>845</v>
      </c>
      <c r="U26" s="1779"/>
      <c r="V26" s="1573">
        <v>1450560</v>
      </c>
      <c r="W26" s="1141">
        <f t="shared" si="2"/>
        <v>1465065.6</v>
      </c>
      <c r="X26" s="1141">
        <f t="shared" si="2"/>
        <v>1479716.2560000001</v>
      </c>
      <c r="Y26" s="1141">
        <f t="shared" si="2"/>
        <v>1494513.4185600001</v>
      </c>
      <c r="Z26" s="1141">
        <f t="shared" si="2"/>
        <v>1509458.5527456002</v>
      </c>
      <c r="AA26" s="1141">
        <f t="shared" si="2"/>
        <v>1524553.1382730561</v>
      </c>
    </row>
    <row r="27" spans="2:27" s="1134" customFormat="1" ht="33.75" customHeight="1">
      <c r="B27" s="1123"/>
      <c r="C27" s="1136"/>
      <c r="D27" s="1136" t="s">
        <v>1078</v>
      </c>
      <c r="E27" s="1136"/>
      <c r="F27" s="1137"/>
      <c r="G27" s="1138"/>
      <c r="H27" s="1136"/>
      <c r="I27" s="1136" t="s">
        <v>844</v>
      </c>
      <c r="J27" s="1139"/>
      <c r="K27" s="1140" t="s">
        <v>845</v>
      </c>
      <c r="L27" s="1140"/>
      <c r="M27" s="1142"/>
      <c r="N27" s="1140" t="s">
        <v>845</v>
      </c>
      <c r="O27" s="1142"/>
      <c r="P27" s="1142"/>
      <c r="Q27" s="1140" t="s">
        <v>845</v>
      </c>
      <c r="R27" s="1142"/>
      <c r="S27" s="1142"/>
      <c r="T27" s="1140" t="s">
        <v>845</v>
      </c>
      <c r="U27" s="1779"/>
      <c r="V27" s="1573">
        <v>2345864</v>
      </c>
      <c r="W27" s="1141">
        <f t="shared" si="2"/>
        <v>2369322.64</v>
      </c>
      <c r="X27" s="1141">
        <f t="shared" si="2"/>
        <v>2393015.8664000002</v>
      </c>
      <c r="Y27" s="1141">
        <f t="shared" si="2"/>
        <v>2416946.0250640004</v>
      </c>
      <c r="Z27" s="1141">
        <f t="shared" si="2"/>
        <v>2441115.4853146402</v>
      </c>
      <c r="AA27" s="1141">
        <f t="shared" si="2"/>
        <v>2465526.6401677867</v>
      </c>
    </row>
    <row r="28" spans="2:27" s="1134" customFormat="1" ht="33" customHeight="1">
      <c r="B28" s="1123"/>
      <c r="C28" s="1136"/>
      <c r="D28" s="1136" t="s">
        <v>1079</v>
      </c>
      <c r="E28" s="1136"/>
      <c r="F28" s="1137"/>
      <c r="G28" s="1138"/>
      <c r="H28" s="1136"/>
      <c r="I28" s="1136" t="s">
        <v>844</v>
      </c>
      <c r="J28" s="1139"/>
      <c r="K28" s="1140" t="s">
        <v>845</v>
      </c>
      <c r="L28" s="1140"/>
      <c r="M28" s="1142"/>
      <c r="N28" s="1140" t="s">
        <v>845</v>
      </c>
      <c r="O28" s="1142"/>
      <c r="P28" s="1142"/>
      <c r="Q28" s="1140" t="s">
        <v>845</v>
      </c>
      <c r="R28" s="1142"/>
      <c r="S28" s="1142"/>
      <c r="T28" s="1140" t="s">
        <v>845</v>
      </c>
      <c r="U28" s="1779"/>
      <c r="V28" s="1573">
        <v>1086200</v>
      </c>
      <c r="W28" s="1141">
        <f t="shared" si="2"/>
        <v>1097062</v>
      </c>
      <c r="X28" s="1141">
        <f t="shared" si="2"/>
        <v>1108032.6200000001</v>
      </c>
      <c r="Y28" s="1141">
        <f t="shared" si="2"/>
        <v>1119112.9462000001</v>
      </c>
      <c r="Z28" s="1141">
        <f t="shared" si="2"/>
        <v>1130304.0756620001</v>
      </c>
      <c r="AA28" s="1141">
        <f t="shared" si="2"/>
        <v>1141607.1164186201</v>
      </c>
    </row>
    <row r="29" spans="2:27" s="1134" customFormat="1" ht="39.75" customHeight="1">
      <c r="B29" s="1123"/>
      <c r="C29" s="1136"/>
      <c r="D29" s="1136" t="s">
        <v>1080</v>
      </c>
      <c r="E29" s="1136"/>
      <c r="F29" s="1137"/>
      <c r="G29" s="1138"/>
      <c r="H29" s="1136"/>
      <c r="I29" s="1136" t="s">
        <v>844</v>
      </c>
      <c r="J29" s="1139"/>
      <c r="K29" s="1140" t="s">
        <v>845</v>
      </c>
      <c r="L29" s="1140"/>
      <c r="M29" s="1142"/>
      <c r="N29" s="1140" t="s">
        <v>845</v>
      </c>
      <c r="O29" s="1142"/>
      <c r="P29" s="1142"/>
      <c r="Q29" s="1140" t="s">
        <v>845</v>
      </c>
      <c r="R29" s="1142"/>
      <c r="S29" s="1142"/>
      <c r="T29" s="1140" t="s">
        <v>845</v>
      </c>
      <c r="U29" s="1779"/>
      <c r="V29" s="1573">
        <v>2348400</v>
      </c>
      <c r="W29" s="1141">
        <f t="shared" si="2"/>
        <v>2371884</v>
      </c>
      <c r="X29" s="1141">
        <f t="shared" si="2"/>
        <v>2395602.84</v>
      </c>
      <c r="Y29" s="1141">
        <f t="shared" si="2"/>
        <v>2419558.8684</v>
      </c>
      <c r="Z29" s="1141">
        <f t="shared" si="2"/>
        <v>2443754.4570840001</v>
      </c>
      <c r="AA29" s="1141">
        <f t="shared" si="2"/>
        <v>2468192.0016548401</v>
      </c>
    </row>
    <row r="30" spans="2:27" s="1134" customFormat="1" ht="25.5">
      <c r="B30" s="1123"/>
      <c r="C30" s="1136"/>
      <c r="D30" s="1136" t="s">
        <v>1081</v>
      </c>
      <c r="E30" s="1136"/>
      <c r="F30" s="1137"/>
      <c r="G30" s="1138"/>
      <c r="H30" s="1136"/>
      <c r="I30" s="1136" t="s">
        <v>844</v>
      </c>
      <c r="J30" s="1139"/>
      <c r="K30" s="1140" t="s">
        <v>845</v>
      </c>
      <c r="L30" s="1140"/>
      <c r="M30" s="1142"/>
      <c r="N30" s="1140" t="s">
        <v>845</v>
      </c>
      <c r="O30" s="1142"/>
      <c r="P30" s="1142"/>
      <c r="Q30" s="1140" t="s">
        <v>845</v>
      </c>
      <c r="R30" s="1142"/>
      <c r="S30" s="1142"/>
      <c r="T30" s="1140" t="s">
        <v>845</v>
      </c>
      <c r="U30" s="1779"/>
      <c r="V30" s="1573">
        <v>2450914</v>
      </c>
      <c r="W30" s="1141">
        <f t="shared" si="2"/>
        <v>2475423.14</v>
      </c>
      <c r="X30" s="1141">
        <f t="shared" si="2"/>
        <v>2500177.3714000001</v>
      </c>
      <c r="Y30" s="1141">
        <f t="shared" si="2"/>
        <v>2525179.145114</v>
      </c>
      <c r="Z30" s="1141">
        <f t="shared" si="2"/>
        <v>2550430.9365651398</v>
      </c>
      <c r="AA30" s="1141">
        <f t="shared" si="2"/>
        <v>2575935.2459307914</v>
      </c>
    </row>
    <row r="31" spans="2:27" s="1134" customFormat="1" ht="25.5">
      <c r="B31" s="1123"/>
      <c r="C31" s="1136"/>
      <c r="D31" s="1136" t="s">
        <v>1082</v>
      </c>
      <c r="E31" s="1136"/>
      <c r="F31" s="1137"/>
      <c r="G31" s="1138"/>
      <c r="H31" s="1136"/>
      <c r="I31" s="1136" t="s">
        <v>844</v>
      </c>
      <c r="J31" s="1139"/>
      <c r="K31" s="1140" t="s">
        <v>845</v>
      </c>
      <c r="L31" s="1140"/>
      <c r="M31" s="1142"/>
      <c r="N31" s="1140" t="s">
        <v>845</v>
      </c>
      <c r="O31" s="1142"/>
      <c r="P31" s="1142"/>
      <c r="Q31" s="1140" t="s">
        <v>845</v>
      </c>
      <c r="R31" s="1142"/>
      <c r="S31" s="1142"/>
      <c r="T31" s="1140" t="s">
        <v>845</v>
      </c>
      <c r="U31" s="1779"/>
      <c r="V31" s="1573">
        <v>2456800</v>
      </c>
      <c r="W31" s="1141">
        <f t="shared" si="2"/>
        <v>2481368</v>
      </c>
      <c r="X31" s="1141">
        <f t="shared" si="2"/>
        <v>2506181.6800000002</v>
      </c>
      <c r="Y31" s="1141">
        <f t="shared" si="2"/>
        <v>2531243.4968000003</v>
      </c>
      <c r="Z31" s="1141">
        <f t="shared" si="2"/>
        <v>2556555.9317680001</v>
      </c>
      <c r="AA31" s="1141">
        <f t="shared" si="2"/>
        <v>2582121.4910856802</v>
      </c>
    </row>
    <row r="32" spans="2:27" s="1134" customFormat="1" ht="25.5">
      <c r="B32" s="1123"/>
      <c r="C32" s="1136"/>
      <c r="D32" s="1136" t="s">
        <v>1083</v>
      </c>
      <c r="E32" s="1136"/>
      <c r="F32" s="1137"/>
      <c r="G32" s="1138"/>
      <c r="H32" s="1136"/>
      <c r="I32" s="1136" t="s">
        <v>844</v>
      </c>
      <c r="J32" s="1139"/>
      <c r="K32" s="1140" t="s">
        <v>845</v>
      </c>
      <c r="L32" s="1140"/>
      <c r="M32" s="1142"/>
      <c r="N32" s="1140" t="s">
        <v>845</v>
      </c>
      <c r="O32" s="1142"/>
      <c r="P32" s="1142"/>
      <c r="Q32" s="1140" t="s">
        <v>845</v>
      </c>
      <c r="R32" s="1142"/>
      <c r="S32" s="1142"/>
      <c r="T32" s="1140" t="s">
        <v>845</v>
      </c>
      <c r="U32" s="1779"/>
      <c r="V32" s="1573">
        <v>434586</v>
      </c>
      <c r="W32" s="1141">
        <f t="shared" si="2"/>
        <v>438931.86</v>
      </c>
      <c r="X32" s="1141">
        <f t="shared" si="2"/>
        <v>443321.17859999998</v>
      </c>
      <c r="Y32" s="1141">
        <f t="shared" si="2"/>
        <v>447754.39038599998</v>
      </c>
      <c r="Z32" s="1141">
        <f t="shared" si="2"/>
        <v>452231.93428986002</v>
      </c>
      <c r="AA32" s="1141">
        <f t="shared" si="2"/>
        <v>456754.25363275863</v>
      </c>
    </row>
    <row r="33" spans="2:27" s="1134" customFormat="1" ht="15">
      <c r="B33" s="1123"/>
      <c r="C33" s="1136"/>
      <c r="D33" s="1136" t="s">
        <v>1084</v>
      </c>
      <c r="E33" s="1136"/>
      <c r="F33" s="1137"/>
      <c r="G33" s="1138"/>
      <c r="H33" s="1136"/>
      <c r="I33" s="1136" t="s">
        <v>844</v>
      </c>
      <c r="J33" s="1139"/>
      <c r="K33" s="1140" t="s">
        <v>845</v>
      </c>
      <c r="L33" s="1140"/>
      <c r="M33" s="1142"/>
      <c r="N33" s="1140" t="s">
        <v>845</v>
      </c>
      <c r="O33" s="1142"/>
      <c r="P33" s="1142"/>
      <c r="Q33" s="1140" t="s">
        <v>845</v>
      </c>
      <c r="R33" s="1142"/>
      <c r="S33" s="1142"/>
      <c r="T33" s="1140" t="s">
        <v>845</v>
      </c>
      <c r="U33" s="1779"/>
      <c r="V33" s="1573">
        <v>245780</v>
      </c>
      <c r="W33" s="1141">
        <f t="shared" si="2"/>
        <v>248237.8</v>
      </c>
      <c r="X33" s="1141">
        <f t="shared" si="2"/>
        <v>250720.17799999999</v>
      </c>
      <c r="Y33" s="1141">
        <f t="shared" si="2"/>
        <v>253227.37977999999</v>
      </c>
      <c r="Z33" s="1141">
        <f t="shared" si="2"/>
        <v>255759.6535778</v>
      </c>
      <c r="AA33" s="1141">
        <f t="shared" si="2"/>
        <v>258317.25011357799</v>
      </c>
    </row>
    <row r="34" spans="2:27" s="1134" customFormat="1" ht="25.5">
      <c r="B34" s="1123"/>
      <c r="C34" s="1136"/>
      <c r="D34" s="1136" t="s">
        <v>1085</v>
      </c>
      <c r="E34" s="1136"/>
      <c r="F34" s="1137"/>
      <c r="G34" s="1138"/>
      <c r="H34" s="1136"/>
      <c r="I34" s="1136" t="s">
        <v>844</v>
      </c>
      <c r="J34" s="1139"/>
      <c r="K34" s="1140" t="s">
        <v>845</v>
      </c>
      <c r="L34" s="1140"/>
      <c r="M34" s="1142"/>
      <c r="N34" s="1140" t="s">
        <v>845</v>
      </c>
      <c r="O34" s="1142"/>
      <c r="P34" s="1142"/>
      <c r="Q34" s="1140" t="s">
        <v>845</v>
      </c>
      <c r="R34" s="1142"/>
      <c r="S34" s="1142"/>
      <c r="T34" s="1140" t="s">
        <v>845</v>
      </c>
      <c r="U34" s="1779"/>
      <c r="V34" s="1573">
        <v>338000</v>
      </c>
      <c r="W34" s="1141">
        <f t="shared" si="2"/>
        <v>341380</v>
      </c>
      <c r="X34" s="1141">
        <f t="shared" si="2"/>
        <v>344793.8</v>
      </c>
      <c r="Y34" s="1141">
        <f t="shared" si="2"/>
        <v>348241.73800000001</v>
      </c>
      <c r="Z34" s="1141">
        <f t="shared" si="2"/>
        <v>351724.15538000001</v>
      </c>
      <c r="AA34" s="1141">
        <f t="shared" si="2"/>
        <v>355241.39693380002</v>
      </c>
    </row>
    <row r="35" spans="2:27" s="1158" customFormat="1" ht="22.5" customHeight="1" thickBot="1">
      <c r="B35" s="1123"/>
      <c r="C35" s="1147"/>
      <c r="D35" s="1148" t="s">
        <v>645</v>
      </c>
      <c r="E35" s="1149"/>
      <c r="F35" s="1150"/>
      <c r="G35" s="1151"/>
      <c r="H35" s="1149"/>
      <c r="I35" s="1152"/>
      <c r="J35" s="1153"/>
      <c r="K35" s="1154"/>
      <c r="L35" s="1154"/>
      <c r="M35" s="1154"/>
      <c r="N35" s="1154"/>
      <c r="O35" s="1154"/>
      <c r="P35" s="1154"/>
      <c r="Q35" s="1154"/>
      <c r="R35" s="1154"/>
      <c r="S35" s="1154"/>
      <c r="T35" s="1154"/>
      <c r="U35" s="1155"/>
      <c r="V35" s="1781">
        <f>SUM(V10:V34)</f>
        <v>40239518</v>
      </c>
      <c r="W35" s="1781">
        <f>SUM(W10:W34)</f>
        <v>40641913.18</v>
      </c>
      <c r="X35" s="1781">
        <f t="shared" ref="X35:AA35" si="3">SUM(X10:X34)</f>
        <v>41048332.311799996</v>
      </c>
      <c r="Y35" s="1781">
        <f t="shared" si="3"/>
        <v>41458815.634917989</v>
      </c>
      <c r="Z35" s="1781">
        <f t="shared" si="3"/>
        <v>41873403.791267179</v>
      </c>
      <c r="AA35" s="1781">
        <f t="shared" si="3"/>
        <v>42292137.829179861</v>
      </c>
    </row>
    <row r="36" spans="2:27" s="1170" customFormat="1" ht="39" customHeight="1">
      <c r="B36" s="1159"/>
      <c r="C36" s="1160"/>
      <c r="D36" s="1161" t="s">
        <v>646</v>
      </c>
      <c r="E36" s="1160"/>
      <c r="F36" s="1160"/>
      <c r="G36" s="1162"/>
      <c r="H36" s="1160"/>
      <c r="I36" s="1163"/>
      <c r="J36" s="1164"/>
      <c r="K36" s="1165"/>
      <c r="L36" s="1165"/>
      <c r="M36" s="1165"/>
      <c r="N36" s="1165"/>
      <c r="O36" s="1165"/>
      <c r="P36" s="1165"/>
      <c r="Q36" s="1165"/>
      <c r="R36" s="1165"/>
      <c r="S36" s="1165"/>
      <c r="T36" s="1165"/>
      <c r="U36" s="1166"/>
      <c r="V36" s="1604"/>
      <c r="W36" s="1167"/>
      <c r="X36" s="1168"/>
      <c r="Y36" s="1168"/>
      <c r="Z36" s="1168"/>
      <c r="AA36" s="1169"/>
    </row>
    <row r="37" spans="2:27" s="1170" customFormat="1" ht="13.5" thickBot="1">
      <c r="B37" s="1159"/>
      <c r="C37" s="1171"/>
      <c r="D37" s="1172"/>
      <c r="E37" s="1171"/>
      <c r="F37" s="1173"/>
      <c r="G37" s="1173"/>
      <c r="H37" s="1171"/>
      <c r="I37" s="1174"/>
      <c r="J37" s="1175"/>
      <c r="K37" s="1176"/>
      <c r="L37" s="1176"/>
      <c r="M37" s="1176"/>
      <c r="N37" s="1176"/>
      <c r="O37" s="1176"/>
      <c r="P37" s="1176"/>
      <c r="Q37" s="1176"/>
      <c r="R37" s="1176"/>
      <c r="S37" s="1176"/>
      <c r="T37" s="1176"/>
      <c r="U37" s="1177"/>
      <c r="V37" s="1606"/>
      <c r="W37" s="1178"/>
      <c r="X37" s="1178"/>
      <c r="Y37" s="1178"/>
      <c r="Z37" s="1178"/>
      <c r="AA37" s="1178"/>
    </row>
    <row r="38" spans="2:27" s="1170" customFormat="1" ht="13.5" thickBot="1">
      <c r="B38" s="1159"/>
      <c r="C38" s="1179"/>
      <c r="D38" s="1172"/>
      <c r="E38" s="1179"/>
      <c r="F38" s="1180"/>
      <c r="G38" s="1180"/>
      <c r="H38" s="1179"/>
      <c r="I38" s="1181"/>
      <c r="J38" s="1182"/>
      <c r="K38" s="1183"/>
      <c r="L38" s="1183"/>
      <c r="M38" s="1183"/>
      <c r="N38" s="1183"/>
      <c r="O38" s="1183"/>
      <c r="P38" s="1183"/>
      <c r="Q38" s="1183"/>
      <c r="R38" s="1183"/>
      <c r="S38" s="1183"/>
      <c r="T38" s="1183"/>
      <c r="U38" s="1184"/>
      <c r="V38" s="1607"/>
      <c r="W38" s="1185"/>
      <c r="X38" s="1186"/>
      <c r="Y38" s="1186"/>
      <c r="Z38" s="1186"/>
      <c r="AA38" s="1186"/>
    </row>
    <row r="39" spans="2:27" s="1170" customFormat="1" ht="13.5" thickBot="1">
      <c r="B39" s="1187"/>
      <c r="C39" s="1188"/>
      <c r="D39" s="1172"/>
      <c r="E39" s="1188"/>
      <c r="F39" s="1189"/>
      <c r="G39" s="1189"/>
      <c r="H39" s="1188"/>
      <c r="I39" s="1190"/>
      <c r="J39" s="1191"/>
      <c r="K39" s="1192"/>
      <c r="L39" s="1192"/>
      <c r="M39" s="1192"/>
      <c r="N39" s="1192"/>
      <c r="O39" s="1192"/>
      <c r="P39" s="1192"/>
      <c r="Q39" s="1192"/>
      <c r="R39" s="1192"/>
      <c r="S39" s="1192"/>
      <c r="T39" s="1192"/>
      <c r="U39" s="1193"/>
      <c r="V39" s="1608"/>
      <c r="W39" s="1194"/>
      <c r="X39" s="1195"/>
      <c r="Y39" s="1195"/>
      <c r="Z39" s="1195"/>
      <c r="AA39" s="1195"/>
    </row>
    <row r="40" spans="2:27" s="1158" customFormat="1" ht="22.5" customHeight="1" thickBot="1">
      <c r="B40" s="1123"/>
      <c r="C40" s="1147"/>
      <c r="D40" s="1148" t="s">
        <v>645</v>
      </c>
      <c r="E40" s="1149"/>
      <c r="F40" s="1150"/>
      <c r="G40" s="1151"/>
      <c r="H40" s="1149"/>
      <c r="I40" s="1152"/>
      <c r="J40" s="1153"/>
      <c r="K40" s="1154"/>
      <c r="L40" s="1154"/>
      <c r="M40" s="1154"/>
      <c r="N40" s="1154"/>
      <c r="O40" s="1154"/>
      <c r="P40" s="1154"/>
      <c r="Q40" s="1154"/>
      <c r="R40" s="1154"/>
      <c r="S40" s="1154"/>
      <c r="T40" s="1154"/>
      <c r="U40" s="1155"/>
      <c r="V40" s="1605">
        <f t="shared" ref="V40:AA40" si="4">SUM(V37:V39)</f>
        <v>0</v>
      </c>
      <c r="W40" s="1156">
        <f t="shared" si="4"/>
        <v>0</v>
      </c>
      <c r="X40" s="1156">
        <f t="shared" si="4"/>
        <v>0</v>
      </c>
      <c r="Y40" s="1156">
        <f t="shared" si="4"/>
        <v>0</v>
      </c>
      <c r="Z40" s="1156">
        <f t="shared" si="4"/>
        <v>0</v>
      </c>
      <c r="AA40" s="1156">
        <f t="shared" si="4"/>
        <v>0</v>
      </c>
    </row>
    <row r="41" spans="2:27" ht="39" customHeight="1">
      <c r="B41" s="1108"/>
      <c r="C41" s="1120"/>
      <c r="D41" s="1196" t="s">
        <v>647</v>
      </c>
      <c r="E41" s="1197"/>
      <c r="F41" s="1197"/>
      <c r="G41" s="1198"/>
      <c r="H41" s="1197"/>
      <c r="I41" s="1199"/>
      <c r="J41" s="1200"/>
      <c r="K41" s="1201"/>
      <c r="L41" s="1201"/>
      <c r="M41" s="1201"/>
      <c r="N41" s="1201"/>
      <c r="O41" s="1201"/>
      <c r="P41" s="1201"/>
      <c r="Q41" s="1201"/>
      <c r="R41" s="1201"/>
      <c r="S41" s="1201"/>
      <c r="T41" s="1201"/>
      <c r="U41" s="1202"/>
      <c r="V41" s="1609"/>
      <c r="W41" s="1203"/>
      <c r="X41" s="1204"/>
      <c r="Y41" s="1204"/>
      <c r="Z41" s="1204"/>
      <c r="AA41" s="1205"/>
    </row>
    <row r="42" spans="2:27" s="1217" customFormat="1">
      <c r="B42" s="1206"/>
      <c r="C42" s="1207"/>
      <c r="D42" s="1208"/>
      <c r="E42" s="1207"/>
      <c r="F42" s="1209"/>
      <c r="G42" s="1210"/>
      <c r="H42" s="1207"/>
      <c r="I42" s="1211"/>
      <c r="J42" s="1212"/>
      <c r="K42" s="1213"/>
      <c r="L42" s="1213"/>
      <c r="M42" s="1213"/>
      <c r="N42" s="1213"/>
      <c r="O42" s="1213"/>
      <c r="P42" s="1213"/>
      <c r="Q42" s="1213"/>
      <c r="R42" s="1213"/>
      <c r="S42" s="1213"/>
      <c r="T42" s="1213"/>
      <c r="U42" s="1214"/>
      <c r="V42" s="1610"/>
      <c r="W42" s="1215"/>
      <c r="X42" s="1216"/>
      <c r="Y42" s="1216"/>
      <c r="Z42" s="1216"/>
      <c r="AA42" s="1216"/>
    </row>
    <row r="43" spans="2:27" s="1217" customFormat="1">
      <c r="B43" s="1206"/>
      <c r="C43" s="1207"/>
      <c r="D43" s="1208"/>
      <c r="E43" s="1207"/>
      <c r="F43" s="1209"/>
      <c r="G43" s="1210"/>
      <c r="H43" s="1207"/>
      <c r="I43" s="1211"/>
      <c r="J43" s="1212"/>
      <c r="K43" s="1213"/>
      <c r="L43" s="1213"/>
      <c r="M43" s="1213"/>
      <c r="N43" s="1213"/>
      <c r="O43" s="1213"/>
      <c r="P43" s="1213"/>
      <c r="Q43" s="1213"/>
      <c r="R43" s="1213"/>
      <c r="S43" s="1213"/>
      <c r="T43" s="1213"/>
      <c r="U43" s="1214"/>
      <c r="V43" s="1610"/>
      <c r="W43" s="1215"/>
      <c r="X43" s="1216"/>
      <c r="Y43" s="1216"/>
      <c r="Z43" s="1216"/>
      <c r="AA43" s="1216"/>
    </row>
    <row r="44" spans="2:27" s="1158" customFormat="1" ht="22.5" customHeight="1">
      <c r="B44" s="1123"/>
      <c r="C44" s="1147"/>
      <c r="D44" s="1148" t="s">
        <v>645</v>
      </c>
      <c r="E44" s="1149"/>
      <c r="F44" s="1150"/>
      <c r="G44" s="1151"/>
      <c r="H44" s="1149"/>
      <c r="I44" s="1152"/>
      <c r="J44" s="1153"/>
      <c r="K44" s="1154"/>
      <c r="L44" s="1154"/>
      <c r="M44" s="1154"/>
      <c r="N44" s="1154"/>
      <c r="O44" s="1154"/>
      <c r="P44" s="1154"/>
      <c r="Q44" s="1154"/>
      <c r="R44" s="1154"/>
      <c r="S44" s="1154"/>
      <c r="T44" s="1154"/>
      <c r="U44" s="1155"/>
      <c r="V44" s="1605">
        <f t="shared" ref="V44:AA44" si="5">SUM(V42:V43)</f>
        <v>0</v>
      </c>
      <c r="W44" s="1157">
        <f t="shared" si="5"/>
        <v>0</v>
      </c>
      <c r="X44" s="1157">
        <f t="shared" si="5"/>
        <v>0</v>
      </c>
      <c r="Y44" s="1157">
        <f t="shared" si="5"/>
        <v>0</v>
      </c>
      <c r="Z44" s="1157">
        <f t="shared" si="5"/>
        <v>0</v>
      </c>
      <c r="AA44" s="1157">
        <f t="shared" si="5"/>
        <v>0</v>
      </c>
    </row>
    <row r="45" spans="2:27" s="1158" customFormat="1" ht="22.5" customHeight="1">
      <c r="B45" s="1123"/>
      <c r="C45" s="1147"/>
      <c r="D45" s="1148" t="s">
        <v>648</v>
      </c>
      <c r="E45" s="1149"/>
      <c r="F45" s="1150"/>
      <c r="G45" s="1151"/>
      <c r="H45" s="1149"/>
      <c r="I45" s="1152"/>
      <c r="J45" s="1153"/>
      <c r="K45" s="1154"/>
      <c r="L45" s="1154"/>
      <c r="M45" s="1154"/>
      <c r="N45" s="1154"/>
      <c r="O45" s="1154"/>
      <c r="P45" s="1154"/>
      <c r="Q45" s="1154"/>
      <c r="R45" s="1154"/>
      <c r="S45" s="1154"/>
      <c r="T45" s="1154"/>
      <c r="U45" s="1155"/>
      <c r="V45" s="1605">
        <f t="shared" ref="V45:AA45" si="6">V44+V40+V35</f>
        <v>40239518</v>
      </c>
      <c r="W45" s="1157">
        <f>W44+W40+W35</f>
        <v>40641913.18</v>
      </c>
      <c r="X45" s="1157">
        <f t="shared" si="6"/>
        <v>41048332.311799996</v>
      </c>
      <c r="Y45" s="1157">
        <f t="shared" si="6"/>
        <v>41458815.634917989</v>
      </c>
      <c r="Z45" s="1157">
        <f t="shared" si="6"/>
        <v>41873403.791267179</v>
      </c>
      <c r="AA45" s="1157">
        <f t="shared" si="6"/>
        <v>42292137.829179861</v>
      </c>
    </row>
    <row r="46" spans="2:27">
      <c r="W46" s="1221"/>
    </row>
    <row r="47" spans="2:27">
      <c r="Y47" s="1220"/>
      <c r="Z47" s="1220"/>
      <c r="AA47" s="1220"/>
    </row>
    <row r="48" spans="2:27">
      <c r="Y48" s="1220"/>
      <c r="Z48" s="1220"/>
      <c r="AA48" s="1220"/>
    </row>
    <row r="49" spans="4:27">
      <c r="D49" s="1222" t="s">
        <v>608</v>
      </c>
      <c r="E49" s="1146"/>
      <c r="F49" s="1146"/>
      <c r="Y49" s="1220"/>
      <c r="Z49" s="1220"/>
      <c r="AA49" s="1220"/>
    </row>
    <row r="50" spans="4:27">
      <c r="D50" s="1222"/>
      <c r="E50" s="1146"/>
      <c r="F50" s="1146"/>
      <c r="Y50" s="1220"/>
    </row>
    <row r="51" spans="4:27">
      <c r="D51" s="1222"/>
      <c r="E51" s="1146"/>
      <c r="F51" s="1146"/>
      <c r="Y51" s="1220"/>
      <c r="Z51" s="1220"/>
      <c r="AA51" s="1220"/>
    </row>
    <row r="52" spans="4:27">
      <c r="Y52" s="1220"/>
      <c r="Z52" s="1220"/>
      <c r="AA52" s="1220"/>
    </row>
    <row r="53" spans="4:27">
      <c r="Y53" s="1220"/>
      <c r="Z53" s="1220"/>
      <c r="AA53" s="1220"/>
    </row>
    <row r="55" spans="4:27">
      <c r="Y55" s="1220"/>
      <c r="Z55" s="1220"/>
      <c r="AA55" s="1220"/>
    </row>
  </sheetData>
  <mergeCells count="3">
    <mergeCell ref="C2:AA2"/>
    <mergeCell ref="J5:U5"/>
    <mergeCell ref="V5:AA5"/>
  </mergeCells>
  <pageMargins left="0.7" right="0.7" top="0.75" bottom="0.75" header="0.3" footer="0.3"/>
  <pageSetup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7E4F5-7857-4984-AA0E-038774EDEE19}">
  <dimension ref="D4:M11"/>
  <sheetViews>
    <sheetView workbookViewId="0">
      <selection activeCell="I16" sqref="I16"/>
    </sheetView>
  </sheetViews>
  <sheetFormatPr defaultRowHeight="15"/>
  <cols>
    <col min="5" max="5" width="14.42578125" customWidth="1"/>
    <col min="6" max="6" width="43.85546875" customWidth="1"/>
    <col min="7" max="7" width="11.140625" style="377" customWidth="1"/>
    <col min="8" max="8" width="13.28515625" style="377" bestFit="1" customWidth="1"/>
    <col min="9" max="9" width="14.28515625" bestFit="1" customWidth="1"/>
    <col min="10" max="13" width="13.28515625" bestFit="1" customWidth="1"/>
  </cols>
  <sheetData>
    <row r="4" spans="4:13">
      <c r="E4" t="s">
        <v>1027</v>
      </c>
      <c r="F4" t="s">
        <v>1028</v>
      </c>
      <c r="G4" s="377" t="s">
        <v>1029</v>
      </c>
      <c r="H4" s="377" t="s">
        <v>1030</v>
      </c>
      <c r="I4" t="s">
        <v>571</v>
      </c>
      <c r="J4" t="s">
        <v>572</v>
      </c>
      <c r="K4" t="s">
        <v>573</v>
      </c>
      <c r="L4" t="s">
        <v>574</v>
      </c>
      <c r="M4" t="s">
        <v>575</v>
      </c>
    </row>
    <row r="5" spans="4:13">
      <c r="D5">
        <v>1</v>
      </c>
      <c r="E5" t="s">
        <v>1032</v>
      </c>
      <c r="F5" t="s">
        <v>1031</v>
      </c>
      <c r="G5" s="377">
        <v>2</v>
      </c>
      <c r="H5" s="240">
        <v>5000000</v>
      </c>
      <c r="I5" s="167">
        <f>H5*G5</f>
        <v>10000000</v>
      </c>
    </row>
    <row r="6" spans="4:13">
      <c r="F6" s="377" t="s">
        <v>1031</v>
      </c>
      <c r="G6" s="377">
        <v>1</v>
      </c>
      <c r="H6" s="240">
        <v>5000000</v>
      </c>
      <c r="J6" s="167"/>
      <c r="K6" s="167">
        <f>H6</f>
        <v>5000000</v>
      </c>
    </row>
    <row r="7" spans="4:13">
      <c r="F7" s="377" t="s">
        <v>1031</v>
      </c>
      <c r="G7" s="377">
        <v>1</v>
      </c>
      <c r="H7" s="240">
        <v>5000000</v>
      </c>
      <c r="L7" s="167">
        <f>H7</f>
        <v>5000000</v>
      </c>
    </row>
    <row r="8" spans="4:13">
      <c r="F8" s="377" t="s">
        <v>1031</v>
      </c>
      <c r="G8" s="377">
        <v>1</v>
      </c>
      <c r="H8" s="240">
        <v>5000000</v>
      </c>
      <c r="M8" s="167">
        <f>H8</f>
        <v>5000000</v>
      </c>
    </row>
    <row r="11" spans="4:13">
      <c r="D11">
        <v>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J34"/>
  <sheetViews>
    <sheetView workbookViewId="0">
      <selection activeCell="K9" sqref="K9"/>
    </sheetView>
  </sheetViews>
  <sheetFormatPr defaultColWidth="9.140625" defaultRowHeight="15"/>
  <cols>
    <col min="1" max="1" width="5.85546875" style="1225" customWidth="1"/>
    <col min="2" max="2" width="30.7109375" style="1225" customWidth="1"/>
    <col min="3" max="3" width="35.7109375" style="1226" customWidth="1"/>
    <col min="4" max="4" width="36" style="1226" customWidth="1"/>
    <col min="5" max="5" width="41.85546875" style="1245" customWidth="1"/>
    <col min="6" max="6" width="48.140625" style="1225" customWidth="1"/>
    <col min="7" max="7" width="48.7109375" style="1225" customWidth="1"/>
    <col min="8" max="8" width="16.140625" style="1246" customWidth="1"/>
    <col min="9" max="9" width="9.140625" style="1225"/>
    <col min="10" max="10" width="14.7109375" style="1225" customWidth="1"/>
    <col min="11" max="16384" width="9.140625" style="1225"/>
  </cols>
  <sheetData>
    <row r="2" spans="1:8" ht="28.5" customHeight="1">
      <c r="A2" s="2062" t="s">
        <v>651</v>
      </c>
      <c r="B2" s="2062"/>
      <c r="C2" s="2062"/>
      <c r="D2" s="2062"/>
      <c r="E2" s="1223"/>
      <c r="F2" s="1224"/>
      <c r="G2" s="2063"/>
      <c r="H2" s="2063"/>
    </row>
    <row r="3" spans="1:8" ht="15.75">
      <c r="A3" s="2062" t="s">
        <v>603</v>
      </c>
      <c r="B3" s="2062"/>
      <c r="C3" s="2062"/>
      <c r="D3" s="1526"/>
      <c r="E3" s="1227"/>
      <c r="G3" s="2063" t="s">
        <v>754</v>
      </c>
      <c r="H3" s="2063"/>
    </row>
    <row r="4" spans="1:8" s="1230" customFormat="1" ht="33" customHeight="1">
      <c r="A4" s="2063" t="s">
        <v>313</v>
      </c>
      <c r="B4" s="1228" t="s">
        <v>652</v>
      </c>
      <c r="C4" s="1229">
        <v>1</v>
      </c>
      <c r="D4" s="1229">
        <v>2</v>
      </c>
      <c r="E4" s="1229">
        <v>3</v>
      </c>
      <c r="F4" s="1229">
        <v>4</v>
      </c>
      <c r="G4" s="1229">
        <v>5</v>
      </c>
      <c r="H4" s="1229" t="s">
        <v>653</v>
      </c>
    </row>
    <row r="5" spans="1:8" s="1230" customFormat="1" ht="18" customHeight="1" thickBot="1">
      <c r="A5" s="2063"/>
      <c r="B5" s="1231" t="s">
        <v>654</v>
      </c>
      <c r="C5" s="1232" t="s">
        <v>655</v>
      </c>
      <c r="D5" s="1232"/>
      <c r="E5" s="1232"/>
      <c r="F5" s="1232"/>
      <c r="G5" s="1232" t="s">
        <v>656</v>
      </c>
      <c r="H5" s="1232" t="s">
        <v>657</v>
      </c>
    </row>
    <row r="6" spans="1:8" ht="16.5" thickTop="1">
      <c r="A6" s="1233">
        <v>1</v>
      </c>
      <c r="B6" s="2063" t="s">
        <v>658</v>
      </c>
      <c r="C6" s="2063"/>
      <c r="D6" s="2063"/>
      <c r="E6" s="2063"/>
      <c r="F6" s="2063"/>
      <c r="G6" s="2063"/>
      <c r="H6" s="2063"/>
    </row>
    <row r="7" spans="1:8" ht="63">
      <c r="A7" s="1234">
        <v>1.1000000000000001</v>
      </c>
      <c r="B7" s="1235" t="s">
        <v>659</v>
      </c>
      <c r="C7" s="1236" t="s">
        <v>660</v>
      </c>
      <c r="D7" s="1236" t="s">
        <v>661</v>
      </c>
      <c r="E7" s="1237" t="s">
        <v>662</v>
      </c>
      <c r="F7" s="1236" t="s">
        <v>663</v>
      </c>
      <c r="G7" s="1236" t="s">
        <v>663</v>
      </c>
      <c r="H7" s="1234">
        <v>2</v>
      </c>
    </row>
    <row r="8" spans="1:8" ht="47.25">
      <c r="A8" s="1234">
        <v>1.2</v>
      </c>
      <c r="B8" s="1236" t="s">
        <v>664</v>
      </c>
      <c r="C8" s="1236" t="s">
        <v>665</v>
      </c>
      <c r="D8" s="1236" t="s">
        <v>666</v>
      </c>
      <c r="E8" s="1236" t="s">
        <v>667</v>
      </c>
      <c r="F8" s="1237" t="s">
        <v>668</v>
      </c>
      <c r="G8" s="1236" t="s">
        <v>669</v>
      </c>
      <c r="H8" s="1234">
        <v>4</v>
      </c>
    </row>
    <row r="9" spans="1:8" ht="78.75">
      <c r="A9" s="1234">
        <v>1.3</v>
      </c>
      <c r="B9" s="1235" t="s">
        <v>670</v>
      </c>
      <c r="C9" s="1236" t="s">
        <v>671</v>
      </c>
      <c r="D9" s="1236" t="s">
        <v>672</v>
      </c>
      <c r="E9" s="1236" t="s">
        <v>673</v>
      </c>
      <c r="F9" s="1237" t="s">
        <v>674</v>
      </c>
      <c r="G9" s="1236" t="s">
        <v>675</v>
      </c>
      <c r="H9" s="1234">
        <v>3</v>
      </c>
    </row>
    <row r="10" spans="1:8" ht="31.5">
      <c r="A10" s="1234">
        <v>1.4</v>
      </c>
      <c r="B10" s="1235" t="s">
        <v>676</v>
      </c>
      <c r="C10" s="1236" t="s">
        <v>677</v>
      </c>
      <c r="D10" s="1236" t="s">
        <v>678</v>
      </c>
      <c r="E10" s="1236" t="s">
        <v>679</v>
      </c>
      <c r="F10" s="1236" t="s">
        <v>680</v>
      </c>
      <c r="G10" s="1237" t="s">
        <v>681</v>
      </c>
      <c r="H10" s="1234">
        <v>5</v>
      </c>
    </row>
    <row r="11" spans="1:8" ht="15.75">
      <c r="A11" s="1238">
        <v>2</v>
      </c>
      <c r="B11" s="2061" t="s">
        <v>868</v>
      </c>
      <c r="C11" s="2061"/>
      <c r="D11" s="2061"/>
      <c r="E11" s="2061"/>
      <c r="F11" s="2061"/>
      <c r="G11" s="2061"/>
      <c r="H11" s="2061"/>
    </row>
    <row r="12" spans="1:8" ht="63">
      <c r="A12" s="1234">
        <v>2.1</v>
      </c>
      <c r="B12" s="1235" t="s">
        <v>682</v>
      </c>
      <c r="C12" s="1236" t="s">
        <v>683</v>
      </c>
      <c r="D12" s="1236" t="s">
        <v>684</v>
      </c>
      <c r="E12" s="1237" t="s">
        <v>685</v>
      </c>
      <c r="F12" s="1236" t="s">
        <v>686</v>
      </c>
      <c r="G12" s="1236" t="s">
        <v>687</v>
      </c>
      <c r="H12" s="1234">
        <v>3</v>
      </c>
    </row>
    <row r="13" spans="1:8" ht="15.75">
      <c r="A13" s="1238">
        <v>3</v>
      </c>
      <c r="B13" s="2061" t="s">
        <v>688</v>
      </c>
      <c r="C13" s="2061"/>
      <c r="D13" s="2061"/>
      <c r="E13" s="2061"/>
      <c r="F13" s="2061"/>
      <c r="G13" s="2061"/>
      <c r="H13" s="2061"/>
    </row>
    <row r="14" spans="1:8" ht="47.25">
      <c r="A14" s="1234">
        <v>3.1</v>
      </c>
      <c r="B14" s="1235" t="s">
        <v>688</v>
      </c>
      <c r="C14" s="1236" t="s">
        <v>689</v>
      </c>
      <c r="D14" s="1237" t="s">
        <v>690</v>
      </c>
      <c r="E14" s="1236" t="s">
        <v>691</v>
      </c>
      <c r="F14" s="1236" t="s">
        <v>692</v>
      </c>
      <c r="G14" s="1236" t="s">
        <v>693</v>
      </c>
      <c r="H14" s="1234">
        <v>2</v>
      </c>
    </row>
    <row r="15" spans="1:8" ht="15.75">
      <c r="A15" s="1238">
        <v>4</v>
      </c>
      <c r="B15" s="2061" t="s">
        <v>694</v>
      </c>
      <c r="C15" s="2061"/>
      <c r="D15" s="2061"/>
      <c r="E15" s="2061"/>
      <c r="F15" s="2061"/>
      <c r="G15" s="2061"/>
      <c r="H15" s="2061"/>
    </row>
    <row r="16" spans="1:8" ht="31.5">
      <c r="A16" s="1234">
        <v>4.0999999999999996</v>
      </c>
      <c r="B16" s="1235" t="s">
        <v>694</v>
      </c>
      <c r="C16" s="1236" t="s">
        <v>695</v>
      </c>
      <c r="D16" s="1236" t="s">
        <v>696</v>
      </c>
      <c r="E16" s="1237" t="s">
        <v>697</v>
      </c>
      <c r="F16" s="1236" t="s">
        <v>698</v>
      </c>
      <c r="G16" s="1236" t="s">
        <v>699</v>
      </c>
      <c r="H16" s="1234">
        <v>3</v>
      </c>
    </row>
    <row r="17" spans="1:10" ht="31.5">
      <c r="A17" s="1234">
        <v>4.2</v>
      </c>
      <c r="B17" s="1235" t="s">
        <v>700</v>
      </c>
      <c r="C17" s="1236" t="s">
        <v>701</v>
      </c>
      <c r="D17" s="1236" t="s">
        <v>702</v>
      </c>
      <c r="E17" s="1236" t="s">
        <v>703</v>
      </c>
      <c r="F17" s="1237" t="s">
        <v>704</v>
      </c>
      <c r="G17" s="1236" t="s">
        <v>705</v>
      </c>
      <c r="H17" s="1234">
        <v>3</v>
      </c>
    </row>
    <row r="18" spans="1:10" ht="47.25">
      <c r="A18" s="1234">
        <v>4.3</v>
      </c>
      <c r="B18" s="1235" t="s">
        <v>706</v>
      </c>
      <c r="C18" s="1236" t="s">
        <v>707</v>
      </c>
      <c r="D18" s="1236" t="s">
        <v>708</v>
      </c>
      <c r="E18" s="1236" t="s">
        <v>709</v>
      </c>
      <c r="F18" s="1236" t="s">
        <v>710</v>
      </c>
      <c r="G18" s="1237" t="s">
        <v>711</v>
      </c>
      <c r="H18" s="376">
        <v>5</v>
      </c>
    </row>
    <row r="19" spans="1:10" ht="47.25">
      <c r="A19" s="1234">
        <v>4.4000000000000004</v>
      </c>
      <c r="B19" s="1236" t="s">
        <v>712</v>
      </c>
      <c r="C19" s="1236" t="s">
        <v>707</v>
      </c>
      <c r="D19" s="1236" t="s">
        <v>713</v>
      </c>
      <c r="E19" s="1236" t="s">
        <v>714</v>
      </c>
      <c r="F19" s="1236" t="s">
        <v>715</v>
      </c>
      <c r="G19" s="1237" t="s">
        <v>716</v>
      </c>
      <c r="H19" s="376">
        <v>5</v>
      </c>
    </row>
    <row r="20" spans="1:10" ht="15.75">
      <c r="A20" s="1238">
        <v>5</v>
      </c>
      <c r="B20" s="2061" t="s">
        <v>717</v>
      </c>
      <c r="C20" s="2061"/>
      <c r="D20" s="2061"/>
      <c r="E20" s="2061"/>
      <c r="F20" s="2061"/>
      <c r="G20" s="2061"/>
      <c r="H20" s="2061"/>
    </row>
    <row r="21" spans="1:10" ht="47.25">
      <c r="A21" s="1234">
        <v>5.0999999999999996</v>
      </c>
      <c r="B21" s="1236" t="s">
        <v>717</v>
      </c>
      <c r="C21" s="1236" t="s">
        <v>718</v>
      </c>
      <c r="D21" s="1236" t="s">
        <v>719</v>
      </c>
      <c r="E21" s="1236" t="s">
        <v>720</v>
      </c>
      <c r="F21" s="1236" t="s">
        <v>721</v>
      </c>
      <c r="G21" s="1237" t="s">
        <v>722</v>
      </c>
      <c r="H21" s="1234">
        <v>3</v>
      </c>
    </row>
    <row r="22" spans="1:10" ht="47.25">
      <c r="A22" s="1234">
        <v>5.2</v>
      </c>
      <c r="B22" s="1236" t="s">
        <v>723</v>
      </c>
      <c r="C22" s="1236" t="s">
        <v>724</v>
      </c>
      <c r="D22" s="1236" t="s">
        <v>725</v>
      </c>
      <c r="E22" s="1237" t="s">
        <v>726</v>
      </c>
      <c r="F22" s="1236" t="s">
        <v>727</v>
      </c>
      <c r="G22" s="1236" t="s">
        <v>728</v>
      </c>
      <c r="H22" s="1234">
        <v>3</v>
      </c>
    </row>
    <row r="23" spans="1:10" ht="31.5">
      <c r="A23" s="1234">
        <v>5.3</v>
      </c>
      <c r="B23" s="1236" t="s">
        <v>729</v>
      </c>
      <c r="C23" s="1236" t="s">
        <v>730</v>
      </c>
      <c r="D23" s="1237" t="s">
        <v>731</v>
      </c>
      <c r="E23" s="1236" t="s">
        <v>732</v>
      </c>
      <c r="F23" s="1236" t="s">
        <v>733</v>
      </c>
      <c r="G23" s="1236" t="s">
        <v>734</v>
      </c>
      <c r="H23" s="1234">
        <v>4</v>
      </c>
    </row>
    <row r="24" spans="1:10" ht="47.25">
      <c r="A24" s="1234">
        <v>5.4</v>
      </c>
      <c r="B24" s="1236" t="s">
        <v>735</v>
      </c>
      <c r="C24" s="1236" t="s">
        <v>736</v>
      </c>
      <c r="D24" s="1236" t="s">
        <v>737</v>
      </c>
      <c r="E24" s="1237" t="s">
        <v>738</v>
      </c>
      <c r="F24" s="1236" t="s">
        <v>739</v>
      </c>
      <c r="G24" s="1236" t="s">
        <v>740</v>
      </c>
      <c r="H24" s="1234">
        <v>5</v>
      </c>
    </row>
    <row r="25" spans="1:10" ht="31.5">
      <c r="A25" s="1234">
        <v>5.5</v>
      </c>
      <c r="B25" s="1236" t="s">
        <v>741</v>
      </c>
      <c r="C25" s="1236" t="s">
        <v>742</v>
      </c>
      <c r="D25" s="1236" t="s">
        <v>743</v>
      </c>
      <c r="E25" s="1237" t="s">
        <v>744</v>
      </c>
      <c r="F25" s="1236" t="s">
        <v>745</v>
      </c>
      <c r="G25" s="1236" t="s">
        <v>746</v>
      </c>
      <c r="H25" s="1234">
        <v>5</v>
      </c>
    </row>
    <row r="26" spans="1:10" ht="47.25">
      <c r="A26" s="1234">
        <v>5.6</v>
      </c>
      <c r="B26" s="1236" t="s">
        <v>747</v>
      </c>
      <c r="C26" s="1236" t="s">
        <v>748</v>
      </c>
      <c r="D26" s="1236" t="s">
        <v>749</v>
      </c>
      <c r="E26" s="1237" t="s">
        <v>750</v>
      </c>
      <c r="F26" s="1236" t="s">
        <v>751</v>
      </c>
      <c r="G26" s="1236" t="s">
        <v>752</v>
      </c>
      <c r="H26" s="1234">
        <v>3</v>
      </c>
    </row>
    <row r="27" spans="1:10" s="1240" customFormat="1" ht="20.25" customHeight="1">
      <c r="A27" s="1239"/>
      <c r="C27" s="1241"/>
      <c r="D27" s="1241"/>
      <c r="E27" s="1242"/>
      <c r="H27" s="1243"/>
      <c r="J27" s="1225"/>
    </row>
    <row r="28" spans="1:10" ht="18.75" customHeight="1">
      <c r="A28" s="1244"/>
    </row>
    <row r="29" spans="1:10" ht="30">
      <c r="B29" s="1247" t="s">
        <v>753</v>
      </c>
    </row>
    <row r="30" spans="1:10" ht="30">
      <c r="A30" s="1248">
        <v>1</v>
      </c>
      <c r="B30" s="1249" t="s">
        <v>658</v>
      </c>
    </row>
    <row r="31" spans="1:10">
      <c r="A31" s="1248">
        <v>2</v>
      </c>
      <c r="B31" s="1249" t="s">
        <v>682</v>
      </c>
    </row>
    <row r="32" spans="1:10">
      <c r="A32" s="1248">
        <v>3</v>
      </c>
      <c r="B32" s="1249" t="s">
        <v>688</v>
      </c>
    </row>
    <row r="33" spans="1:2">
      <c r="A33" s="1248">
        <v>4</v>
      </c>
      <c r="B33" s="1249" t="s">
        <v>694</v>
      </c>
    </row>
    <row r="34" spans="1:2">
      <c r="A34" s="1248">
        <v>5</v>
      </c>
      <c r="B34" s="1249" t="s">
        <v>717</v>
      </c>
    </row>
  </sheetData>
  <mergeCells count="10">
    <mergeCell ref="B11:H11"/>
    <mergeCell ref="B13:H13"/>
    <mergeCell ref="B15:H15"/>
    <mergeCell ref="B20:H20"/>
    <mergeCell ref="A2:D2"/>
    <mergeCell ref="G2:H2"/>
    <mergeCell ref="A3:C3"/>
    <mergeCell ref="G3:H3"/>
    <mergeCell ref="A4:A5"/>
    <mergeCell ref="B6:H6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C1:Z31"/>
  <sheetViews>
    <sheetView topLeftCell="E8" zoomScale="98" zoomScaleNormal="98" workbookViewId="0">
      <selection activeCell="H8" sqref="H8"/>
    </sheetView>
  </sheetViews>
  <sheetFormatPr defaultColWidth="9.28515625" defaultRowHeight="15"/>
  <cols>
    <col min="1" max="1" width="3.28515625" style="1257" customWidth="1"/>
    <col min="2" max="2" width="4" style="1257" customWidth="1"/>
    <col min="3" max="3" width="3.85546875" style="1257" bestFit="1" customWidth="1"/>
    <col min="4" max="4" width="55.140625" style="1257" customWidth="1"/>
    <col min="5" max="5" width="15" style="1449" bestFit="1" customWidth="1"/>
    <col min="6" max="6" width="23" style="1449" bestFit="1" customWidth="1"/>
    <col min="7" max="7" width="21.42578125" style="1226" customWidth="1"/>
    <col min="8" max="8" width="14.5703125" style="1444" customWidth="1"/>
    <col min="9" max="9" width="14.28515625" style="1449" bestFit="1" customWidth="1"/>
    <col min="10" max="10" width="15" style="1449" customWidth="1"/>
    <col min="11" max="11" width="20.140625" style="1428" customWidth="1"/>
    <col min="12" max="12" width="15.42578125" style="1453" customWidth="1"/>
    <col min="13" max="13" width="15.42578125" style="1257" bestFit="1" customWidth="1"/>
    <col min="14" max="14" width="15" style="1257" customWidth="1"/>
    <col min="15" max="15" width="18.5703125" style="1225" customWidth="1"/>
    <col min="16" max="16" width="14.28515625" style="1453" bestFit="1" customWidth="1"/>
    <col min="17" max="17" width="15.42578125" style="1257" bestFit="1" customWidth="1"/>
    <col min="18" max="18" width="14.140625" style="1257" bestFit="1" customWidth="1"/>
    <col min="19" max="19" width="18.85546875" style="1257" customWidth="1"/>
    <col min="20" max="20" width="14.28515625" style="1453" bestFit="1" customWidth="1"/>
    <col min="21" max="21" width="14.28515625" style="1257" bestFit="1" customWidth="1"/>
    <col min="22" max="22" width="14.140625" style="1257" bestFit="1" customWidth="1"/>
    <col min="23" max="23" width="14.85546875" style="1257" customWidth="1"/>
    <col min="24" max="24" width="14.28515625" style="1453" bestFit="1" customWidth="1"/>
    <col min="25" max="25" width="14.28515625" style="1257" bestFit="1" customWidth="1"/>
    <col min="26" max="16384" width="9.28515625" style="1257"/>
  </cols>
  <sheetData>
    <row r="1" spans="3:26">
      <c r="C1" s="1250"/>
      <c r="D1" s="1250"/>
      <c r="E1" s="1251"/>
      <c r="F1" s="1251"/>
      <c r="G1" s="1248"/>
      <c r="H1" s="1252"/>
      <c r="I1" s="1251"/>
      <c r="J1" s="1251"/>
      <c r="K1" s="1253"/>
      <c r="L1" s="1254"/>
      <c r="M1" s="1255"/>
      <c r="N1" s="1255"/>
      <c r="O1" s="1256"/>
      <c r="P1" s="1254"/>
      <c r="Q1" s="1255"/>
      <c r="R1" s="1255"/>
      <c r="S1" s="1255"/>
      <c r="T1" s="1254"/>
      <c r="U1" s="1255"/>
      <c r="V1" s="1255"/>
      <c r="W1" s="1255"/>
      <c r="X1" s="1254"/>
      <c r="Y1" s="1255"/>
    </row>
    <row r="2" spans="3:26" ht="16.5" thickBot="1">
      <c r="C2" s="2074" t="s">
        <v>755</v>
      </c>
      <c r="D2" s="2074"/>
      <c r="E2" s="2074"/>
      <c r="F2" s="2074"/>
      <c r="G2" s="2075"/>
      <c r="H2" s="1258"/>
      <c r="I2" s="1259"/>
      <c r="J2" s="1259"/>
      <c r="K2" s="1253"/>
      <c r="L2" s="1254"/>
      <c r="M2" s="1255"/>
      <c r="N2" s="1255"/>
      <c r="O2" s="1256"/>
      <c r="P2" s="1254"/>
      <c r="Q2" s="1255"/>
      <c r="R2" s="1255"/>
      <c r="S2" s="1255"/>
      <c r="T2" s="1254"/>
      <c r="U2" s="1255"/>
      <c r="V2" s="1255"/>
      <c r="W2" s="1255"/>
      <c r="X2" s="1254"/>
      <c r="Y2" s="1255"/>
    </row>
    <row r="3" spans="3:26" ht="15.75">
      <c r="C3" s="2076" t="s">
        <v>843</v>
      </c>
      <c r="D3" s="2076"/>
      <c r="E3" s="2076"/>
      <c r="F3" s="1260"/>
      <c r="G3" s="2077" t="s">
        <v>91</v>
      </c>
      <c r="H3" s="2078"/>
      <c r="I3" s="2078"/>
      <c r="J3" s="2079"/>
      <c r="K3" s="2080" t="s">
        <v>92</v>
      </c>
      <c r="L3" s="2064"/>
      <c r="M3" s="2064"/>
      <c r="N3" s="2081"/>
      <c r="O3" s="2077" t="s">
        <v>93</v>
      </c>
      <c r="P3" s="2078"/>
      <c r="Q3" s="2078"/>
      <c r="R3" s="2078"/>
      <c r="S3" s="2064" t="s">
        <v>94</v>
      </c>
      <c r="T3" s="2064"/>
      <c r="U3" s="2064"/>
      <c r="V3" s="2065"/>
      <c r="W3" s="2064" t="s">
        <v>95</v>
      </c>
      <c r="X3" s="2064"/>
      <c r="Y3" s="2064"/>
      <c r="Z3" s="2065"/>
    </row>
    <row r="4" spans="3:26" ht="31.5">
      <c r="C4" s="2066"/>
      <c r="D4" s="1228" t="s">
        <v>652</v>
      </c>
      <c r="E4" s="2066" t="s">
        <v>756</v>
      </c>
      <c r="F4" s="2067" t="s">
        <v>757</v>
      </c>
      <c r="G4" s="1261" t="s">
        <v>758</v>
      </c>
      <c r="H4" s="2068" t="s">
        <v>759</v>
      </c>
      <c r="I4" s="2068"/>
      <c r="J4" s="1262" t="s">
        <v>760</v>
      </c>
      <c r="K4" s="1263" t="s">
        <v>758</v>
      </c>
      <c r="L4" s="2069" t="s">
        <v>759</v>
      </c>
      <c r="M4" s="2070"/>
      <c r="N4" s="1264" t="s">
        <v>760</v>
      </c>
      <c r="O4" s="1265" t="s">
        <v>758</v>
      </c>
      <c r="P4" s="2071" t="s">
        <v>759</v>
      </c>
      <c r="Q4" s="2071"/>
      <c r="R4" s="1266" t="s">
        <v>760</v>
      </c>
      <c r="S4" s="1267" t="s">
        <v>758</v>
      </c>
      <c r="T4" s="2072" t="s">
        <v>759</v>
      </c>
      <c r="U4" s="2072"/>
      <c r="V4" s="1268" t="s">
        <v>760</v>
      </c>
      <c r="W4" s="1269" t="s">
        <v>758</v>
      </c>
      <c r="X4" s="2073" t="s">
        <v>759</v>
      </c>
      <c r="Y4" s="2073"/>
      <c r="Z4" s="1270" t="s">
        <v>760</v>
      </c>
    </row>
    <row r="5" spans="3:26" ht="16.5" thickBot="1">
      <c r="C5" s="2066"/>
      <c r="D5" s="1231" t="s">
        <v>654</v>
      </c>
      <c r="E5" s="2066"/>
      <c r="F5" s="2067"/>
      <c r="G5" s="1261"/>
      <c r="H5" s="1271" t="s">
        <v>761</v>
      </c>
      <c r="I5" s="1272" t="s">
        <v>762</v>
      </c>
      <c r="J5" s="1262"/>
      <c r="K5" s="1263"/>
      <c r="L5" s="1273" t="s">
        <v>761</v>
      </c>
      <c r="M5" s="1274" t="s">
        <v>762</v>
      </c>
      <c r="N5" s="1264"/>
      <c r="O5" s="1265"/>
      <c r="P5" s="1275" t="s">
        <v>761</v>
      </c>
      <c r="Q5" s="1276" t="s">
        <v>762</v>
      </c>
      <c r="R5" s="1266"/>
      <c r="S5" s="1267"/>
      <c r="T5" s="1277" t="s">
        <v>761</v>
      </c>
      <c r="U5" s="1267" t="s">
        <v>762</v>
      </c>
      <c r="V5" s="1268"/>
      <c r="W5" s="1269"/>
      <c r="X5" s="1278" t="s">
        <v>761</v>
      </c>
      <c r="Y5" s="1269" t="s">
        <v>762</v>
      </c>
      <c r="Z5" s="1270"/>
    </row>
    <row r="6" spans="3:26" ht="32.25" thickTop="1">
      <c r="C6" s="1279">
        <v>1</v>
      </c>
      <c r="D6" s="1280" t="s">
        <v>658</v>
      </c>
      <c r="E6" s="1280"/>
      <c r="F6" s="1281"/>
      <c r="G6" s="1282"/>
      <c r="H6" s="1271"/>
      <c r="I6" s="1283"/>
      <c r="J6" s="1284"/>
      <c r="K6" s="1285"/>
      <c r="L6" s="1273"/>
      <c r="M6" s="1286"/>
      <c r="N6" s="1287"/>
      <c r="O6" s="1288"/>
      <c r="P6" s="1275"/>
      <c r="Q6" s="1289"/>
      <c r="R6" s="1289"/>
      <c r="S6" s="1290"/>
      <c r="T6" s="1277"/>
      <c r="U6" s="1290"/>
      <c r="V6" s="1291"/>
      <c r="W6" s="1292"/>
      <c r="X6" s="1278"/>
      <c r="Y6" s="1292"/>
      <c r="Z6" s="1293"/>
    </row>
    <row r="7" spans="3:26" ht="15.75">
      <c r="C7" s="1294">
        <v>1.1000000000000001</v>
      </c>
      <c r="D7" s="1295" t="s">
        <v>659</v>
      </c>
      <c r="E7" s="1294"/>
      <c r="F7" s="1296"/>
      <c r="G7" s="1297"/>
      <c r="H7" s="1298"/>
      <c r="I7" s="1299"/>
      <c r="J7" s="1300"/>
      <c r="K7" s="1301"/>
      <c r="L7" s="1302"/>
      <c r="M7" s="1303"/>
      <c r="N7" s="1304"/>
      <c r="O7" s="1305"/>
      <c r="P7" s="1306"/>
      <c r="Q7" s="1307"/>
      <c r="R7" s="1307"/>
      <c r="S7" s="1308"/>
      <c r="T7" s="1309"/>
      <c r="U7" s="1310"/>
      <c r="V7" s="1311"/>
      <c r="W7" s="1312"/>
      <c r="X7" s="1313"/>
      <c r="Y7" s="1314"/>
      <c r="Z7" s="1315"/>
    </row>
    <row r="8" spans="3:26" s="1329" customFormat="1" ht="63">
      <c r="C8" s="1316">
        <v>1.2</v>
      </c>
      <c r="D8" s="1317" t="s">
        <v>664</v>
      </c>
      <c r="E8" s="1316" t="s">
        <v>766</v>
      </c>
      <c r="F8" s="1318" t="s">
        <v>767</v>
      </c>
      <c r="G8" s="1319" t="s">
        <v>804</v>
      </c>
      <c r="H8" s="1320">
        <v>5000000</v>
      </c>
      <c r="I8" s="1299"/>
      <c r="J8" s="1300" t="s">
        <v>778</v>
      </c>
      <c r="K8" s="1321" t="s">
        <v>827</v>
      </c>
      <c r="L8" s="1322">
        <v>5000000</v>
      </c>
      <c r="M8" s="1303"/>
      <c r="N8" s="1304" t="s">
        <v>778</v>
      </c>
      <c r="O8" s="1323" t="s">
        <v>828</v>
      </c>
      <c r="P8" s="1324">
        <v>5000000</v>
      </c>
      <c r="Q8" s="1310"/>
      <c r="R8" s="1310" t="s">
        <v>768</v>
      </c>
      <c r="S8" s="1325" t="s">
        <v>830</v>
      </c>
      <c r="T8" s="1326">
        <v>10000000</v>
      </c>
      <c r="U8" s="1310"/>
      <c r="V8" s="1311" t="s">
        <v>769</v>
      </c>
      <c r="W8" s="1327" t="s">
        <v>829</v>
      </c>
      <c r="X8" s="1328">
        <v>5000000</v>
      </c>
      <c r="Y8" s="1314"/>
      <c r="Z8" s="1315"/>
    </row>
    <row r="9" spans="3:26" ht="47.25">
      <c r="C9" s="1294">
        <v>1.3</v>
      </c>
      <c r="D9" s="1330" t="s">
        <v>670</v>
      </c>
      <c r="E9" s="1331">
        <v>0.3</v>
      </c>
      <c r="F9" s="1332">
        <v>1</v>
      </c>
      <c r="G9" s="1319" t="s">
        <v>770</v>
      </c>
      <c r="H9" s="1320">
        <v>5000000</v>
      </c>
      <c r="I9" s="1299"/>
      <c r="J9" s="1300" t="s">
        <v>778</v>
      </c>
      <c r="K9" s="1321" t="s">
        <v>835</v>
      </c>
      <c r="L9" s="1322">
        <v>5000000</v>
      </c>
      <c r="M9" s="1303"/>
      <c r="N9" s="1304" t="s">
        <v>771</v>
      </c>
      <c r="O9" s="1333" t="s">
        <v>836</v>
      </c>
      <c r="P9" s="1334"/>
      <c r="Q9" s="1307">
        <v>2000000</v>
      </c>
      <c r="R9" s="1307" t="s">
        <v>771</v>
      </c>
      <c r="S9" s="1325" t="s">
        <v>819</v>
      </c>
      <c r="T9" s="1335"/>
      <c r="U9" s="1310">
        <v>3000000</v>
      </c>
      <c r="V9" s="1311" t="s">
        <v>769</v>
      </c>
      <c r="W9" s="1327" t="s">
        <v>823</v>
      </c>
      <c r="X9" s="1336"/>
      <c r="Y9" s="1314">
        <v>2000000</v>
      </c>
      <c r="Z9" s="1315" t="s">
        <v>768</v>
      </c>
    </row>
    <row r="10" spans="3:26" ht="63">
      <c r="C10" s="1294">
        <v>1.4</v>
      </c>
      <c r="D10" s="1337" t="s">
        <v>676</v>
      </c>
      <c r="E10" s="1331">
        <v>0.7</v>
      </c>
      <c r="F10" s="1332">
        <v>1</v>
      </c>
      <c r="G10" s="1319" t="s">
        <v>772</v>
      </c>
      <c r="H10" s="1320"/>
      <c r="I10" s="1299">
        <v>1000000</v>
      </c>
      <c r="J10" s="1300" t="s">
        <v>768</v>
      </c>
      <c r="K10" s="1321" t="s">
        <v>773</v>
      </c>
      <c r="L10" s="1322"/>
      <c r="M10" s="1303">
        <v>3000000</v>
      </c>
      <c r="N10" s="1304" t="s">
        <v>771</v>
      </c>
      <c r="O10" s="1333" t="s">
        <v>774</v>
      </c>
      <c r="P10" s="1334"/>
      <c r="Q10" s="1307">
        <v>10000000</v>
      </c>
      <c r="R10" s="1307" t="s">
        <v>769</v>
      </c>
      <c r="S10" s="1325" t="s">
        <v>820</v>
      </c>
      <c r="T10" s="1338"/>
      <c r="U10" s="1310">
        <v>3000000</v>
      </c>
      <c r="V10" s="1311"/>
      <c r="W10" s="1327"/>
      <c r="X10" s="1339"/>
      <c r="Y10" s="1314"/>
      <c r="Z10" s="1315"/>
    </row>
    <row r="11" spans="3:26" ht="15.75">
      <c r="C11" s="1279">
        <v>2</v>
      </c>
      <c r="D11" s="1280" t="s">
        <v>869</v>
      </c>
      <c r="E11" s="1280"/>
      <c r="F11" s="1281"/>
      <c r="G11" s="1282"/>
      <c r="H11" s="1320"/>
      <c r="I11" s="1283"/>
      <c r="J11" s="1284"/>
      <c r="K11" s="1285"/>
      <c r="L11" s="1322"/>
      <c r="M11" s="1286"/>
      <c r="N11" s="1287"/>
      <c r="O11" s="1288"/>
      <c r="P11" s="1334"/>
      <c r="Q11" s="1289"/>
      <c r="R11" s="1289"/>
      <c r="S11" s="1290"/>
      <c r="T11" s="1338"/>
      <c r="U11" s="1290"/>
      <c r="V11" s="1291"/>
      <c r="W11" s="1292"/>
      <c r="X11" s="1339"/>
      <c r="Y11" s="1292"/>
      <c r="Z11" s="1293"/>
    </row>
    <row r="12" spans="3:26" ht="47.25">
      <c r="C12" s="1294">
        <v>2.1</v>
      </c>
      <c r="D12" s="1337" t="s">
        <v>682</v>
      </c>
      <c r="E12" s="1331">
        <v>0.5</v>
      </c>
      <c r="F12" s="1332">
        <v>1</v>
      </c>
      <c r="G12" s="1319" t="s">
        <v>775</v>
      </c>
      <c r="H12" s="1320"/>
      <c r="I12" s="1299">
        <v>3000000</v>
      </c>
      <c r="J12" s="1340" t="s">
        <v>771</v>
      </c>
      <c r="K12" s="1321" t="s">
        <v>776</v>
      </c>
      <c r="L12" s="1322"/>
      <c r="M12" s="1341">
        <v>1000000</v>
      </c>
      <c r="N12" s="1342" t="s">
        <v>777</v>
      </c>
      <c r="O12" s="1333"/>
      <c r="P12" s="1334"/>
      <c r="Q12" s="1343"/>
      <c r="R12" s="1343"/>
      <c r="S12" s="1325"/>
      <c r="T12" s="1338"/>
      <c r="U12" s="1344"/>
      <c r="V12" s="1345"/>
      <c r="W12" s="1327"/>
      <c r="X12" s="1339"/>
      <c r="Y12" s="1346"/>
      <c r="Z12" s="1347"/>
    </row>
    <row r="13" spans="3:26" ht="15.75">
      <c r="C13" s="1279">
        <v>3</v>
      </c>
      <c r="D13" s="1280" t="s">
        <v>688</v>
      </c>
      <c r="E13" s="1280"/>
      <c r="F13" s="1281"/>
      <c r="G13" s="1282"/>
      <c r="H13" s="1320"/>
      <c r="I13" s="1283"/>
      <c r="J13" s="1284"/>
      <c r="K13" s="1285"/>
      <c r="L13" s="1322"/>
      <c r="M13" s="1286"/>
      <c r="N13" s="1287"/>
      <c r="O13" s="1288"/>
      <c r="P13" s="1334"/>
      <c r="Q13" s="1289"/>
      <c r="R13" s="1289"/>
      <c r="S13" s="1290"/>
      <c r="T13" s="1338"/>
      <c r="U13" s="1290"/>
      <c r="V13" s="1291"/>
      <c r="W13" s="1292"/>
      <c r="X13" s="1339"/>
      <c r="Y13" s="1292"/>
      <c r="Z13" s="1293"/>
    </row>
    <row r="14" spans="3:26" ht="78.75">
      <c r="C14" s="1294">
        <v>3.1</v>
      </c>
      <c r="D14" s="1337" t="s">
        <v>688</v>
      </c>
      <c r="E14" s="1331">
        <v>0.7</v>
      </c>
      <c r="F14" s="1332">
        <v>1</v>
      </c>
      <c r="G14" s="1319" t="s">
        <v>801</v>
      </c>
      <c r="H14" s="1320"/>
      <c r="I14" s="1348">
        <v>1000000</v>
      </c>
      <c r="J14" s="1349" t="s">
        <v>784</v>
      </c>
      <c r="K14" s="1321" t="s">
        <v>802</v>
      </c>
      <c r="L14" s="1322"/>
      <c r="M14" s="1350">
        <v>3000000</v>
      </c>
      <c r="N14" s="1351" t="s">
        <v>784</v>
      </c>
      <c r="O14" s="1333" t="s">
        <v>803</v>
      </c>
      <c r="P14" s="1334"/>
      <c r="Q14" s="1352">
        <v>3000000</v>
      </c>
      <c r="R14" s="1352" t="s">
        <v>784</v>
      </c>
      <c r="S14" s="1325"/>
      <c r="T14" s="1338"/>
      <c r="U14" s="1353"/>
      <c r="V14" s="1354"/>
      <c r="W14" s="1327"/>
      <c r="X14" s="1339"/>
      <c r="Y14" s="1355"/>
      <c r="Z14" s="1356"/>
    </row>
    <row r="15" spans="3:26" ht="15.75">
      <c r="C15" s="1279">
        <v>4</v>
      </c>
      <c r="D15" s="1280" t="s">
        <v>694</v>
      </c>
      <c r="E15" s="1280"/>
      <c r="F15" s="1281"/>
      <c r="G15" s="1282"/>
      <c r="H15" s="1320"/>
      <c r="I15" s="1283"/>
      <c r="J15" s="1284"/>
      <c r="K15" s="1285"/>
      <c r="L15" s="1322"/>
      <c r="M15" s="1286"/>
      <c r="N15" s="1287"/>
      <c r="O15" s="1288"/>
      <c r="P15" s="1334"/>
      <c r="Q15" s="1289"/>
      <c r="R15" s="1289"/>
      <c r="S15" s="1290"/>
      <c r="T15" s="1338"/>
      <c r="U15" s="1290"/>
      <c r="V15" s="1291"/>
      <c r="W15" s="1292"/>
      <c r="X15" s="1339"/>
      <c r="Y15" s="1292"/>
      <c r="Z15" s="1293"/>
    </row>
    <row r="16" spans="3:26" ht="126">
      <c r="C16" s="1294">
        <v>4.0999999999999996</v>
      </c>
      <c r="D16" s="1337" t="s">
        <v>694</v>
      </c>
      <c r="E16" s="1331">
        <v>0.6</v>
      </c>
      <c r="F16" s="1332">
        <v>1</v>
      </c>
      <c r="G16" s="1319" t="s">
        <v>779</v>
      </c>
      <c r="H16" s="1320"/>
      <c r="I16" s="1299"/>
      <c r="J16" s="1300" t="s">
        <v>768</v>
      </c>
      <c r="K16" s="1321" t="s">
        <v>780</v>
      </c>
      <c r="L16" s="1322"/>
      <c r="M16" s="1303">
        <v>3000000</v>
      </c>
      <c r="N16" s="1304" t="s">
        <v>781</v>
      </c>
      <c r="O16" s="1333"/>
      <c r="P16" s="1334"/>
      <c r="Q16" s="1307"/>
      <c r="R16" s="1307" t="s">
        <v>768</v>
      </c>
      <c r="S16" s="1325" t="s">
        <v>816</v>
      </c>
      <c r="T16" s="1338"/>
      <c r="U16" s="1310">
        <v>1000000</v>
      </c>
      <c r="V16" s="1311" t="s">
        <v>817</v>
      </c>
      <c r="W16" s="1327" t="s">
        <v>818</v>
      </c>
      <c r="X16" s="1339"/>
      <c r="Y16" s="1314">
        <v>3000000</v>
      </c>
      <c r="Z16" s="1315" t="s">
        <v>811</v>
      </c>
    </row>
    <row r="17" spans="3:26" s="1329" customFormat="1" ht="31.5">
      <c r="C17" s="1316">
        <v>4.2</v>
      </c>
      <c r="D17" s="1330" t="s">
        <v>700</v>
      </c>
      <c r="E17" s="1357">
        <v>0.4</v>
      </c>
      <c r="F17" s="1358">
        <v>1</v>
      </c>
      <c r="G17" s="1319" t="s">
        <v>824</v>
      </c>
      <c r="H17" s="1320">
        <v>5000000</v>
      </c>
      <c r="I17" s="1299"/>
      <c r="J17" s="1300" t="s">
        <v>782</v>
      </c>
      <c r="K17" s="1359" t="s">
        <v>825</v>
      </c>
      <c r="L17" s="1360">
        <v>5000000</v>
      </c>
      <c r="M17" s="1361"/>
      <c r="N17" s="1362" t="s">
        <v>782</v>
      </c>
      <c r="O17" s="1359" t="s">
        <v>826</v>
      </c>
      <c r="P17" s="1363">
        <v>5000000</v>
      </c>
      <c r="Q17" s="1361">
        <v>200000</v>
      </c>
      <c r="R17" s="1361" t="s">
        <v>783</v>
      </c>
      <c r="S17" s="1330"/>
      <c r="T17" s="1363"/>
      <c r="U17" s="1361"/>
      <c r="V17" s="1364"/>
      <c r="W17" s="1330"/>
      <c r="X17" s="1363"/>
      <c r="Y17" s="1361"/>
      <c r="Z17" s="1364" t="s">
        <v>768</v>
      </c>
    </row>
    <row r="18" spans="3:26" ht="94.5">
      <c r="C18" s="1294">
        <v>4.3</v>
      </c>
      <c r="D18" s="1330" t="s">
        <v>763</v>
      </c>
      <c r="E18" s="1331">
        <v>0.5</v>
      </c>
      <c r="F18" s="1332">
        <v>1</v>
      </c>
      <c r="G18" s="1319" t="s">
        <v>837</v>
      </c>
      <c r="H18" s="1320">
        <v>5000000</v>
      </c>
      <c r="I18" s="1365"/>
      <c r="J18" s="1340" t="s">
        <v>782</v>
      </c>
      <c r="K18" s="1321" t="s">
        <v>838</v>
      </c>
      <c r="L18" s="1322">
        <v>10000000</v>
      </c>
      <c r="M18" s="1366"/>
      <c r="N18" s="1342" t="s">
        <v>782</v>
      </c>
      <c r="O18" s="1333" t="s">
        <v>839</v>
      </c>
      <c r="P18" s="1334">
        <v>15000000</v>
      </c>
      <c r="Q18" s="1367"/>
      <c r="R18" s="1307" t="s">
        <v>783</v>
      </c>
      <c r="S18" s="1325"/>
      <c r="T18" s="1338"/>
      <c r="U18" s="1368"/>
      <c r="V18" s="1311"/>
      <c r="W18" s="1327"/>
      <c r="X18" s="1339"/>
      <c r="Y18" s="1369"/>
      <c r="Z18" s="1315"/>
    </row>
    <row r="19" spans="3:26" ht="78.75">
      <c r="C19" s="1294">
        <v>4.4000000000000004</v>
      </c>
      <c r="D19" s="1370" t="s">
        <v>712</v>
      </c>
      <c r="E19" s="1331">
        <v>0.4</v>
      </c>
      <c r="F19" s="1332">
        <v>1</v>
      </c>
      <c r="G19" s="1319" t="s">
        <v>786</v>
      </c>
      <c r="H19" s="1320"/>
      <c r="I19" s="1371">
        <v>1000000</v>
      </c>
      <c r="J19" s="1340" t="s">
        <v>784</v>
      </c>
      <c r="K19" s="1372" t="s">
        <v>785</v>
      </c>
      <c r="L19" s="1373"/>
      <c r="M19" s="1374">
        <v>20000000</v>
      </c>
      <c r="N19" s="1375" t="s">
        <v>768</v>
      </c>
      <c r="O19" s="1333" t="s">
        <v>785</v>
      </c>
      <c r="P19" s="1334"/>
      <c r="Q19" s="1376">
        <v>20000000</v>
      </c>
      <c r="R19" s="1307" t="s">
        <v>783</v>
      </c>
      <c r="S19" s="1325" t="s">
        <v>787</v>
      </c>
      <c r="T19" s="1338"/>
      <c r="U19" s="1377">
        <v>1000000</v>
      </c>
      <c r="V19" s="1345" t="s">
        <v>782</v>
      </c>
      <c r="W19" s="1327" t="s">
        <v>788</v>
      </c>
      <c r="X19" s="1378"/>
      <c r="Y19" s="1379">
        <v>3000000</v>
      </c>
      <c r="Z19" s="1347" t="s">
        <v>768</v>
      </c>
    </row>
    <row r="20" spans="3:26" ht="15.75">
      <c r="C20" s="1279">
        <v>5</v>
      </c>
      <c r="D20" s="1280" t="s">
        <v>717</v>
      </c>
      <c r="E20" s="1280"/>
      <c r="F20" s="1281"/>
      <c r="G20" s="1282"/>
      <c r="H20" s="1320"/>
      <c r="I20" s="1283"/>
      <c r="J20" s="1284"/>
      <c r="K20" s="1380"/>
      <c r="L20" s="1373"/>
      <c r="M20" s="1381"/>
      <c r="N20" s="1375"/>
      <c r="O20" s="1288"/>
      <c r="P20" s="1334"/>
      <c r="Q20" s="1289"/>
      <c r="R20" s="1307"/>
      <c r="S20" s="1290"/>
      <c r="T20" s="1338"/>
      <c r="U20" s="1382"/>
      <c r="V20" s="1345"/>
      <c r="W20" s="1292"/>
      <c r="X20" s="1339"/>
      <c r="Y20" s="1292"/>
      <c r="Z20" s="1293"/>
    </row>
    <row r="21" spans="3:26" ht="78.75">
      <c r="C21" s="1294">
        <v>5.0999999999999996</v>
      </c>
      <c r="D21" s="1317" t="s">
        <v>717</v>
      </c>
      <c r="E21" s="1357">
        <v>0.7</v>
      </c>
      <c r="F21" s="1358">
        <v>1</v>
      </c>
      <c r="G21" s="1383" t="s">
        <v>831</v>
      </c>
      <c r="H21" s="1384">
        <v>18000000</v>
      </c>
      <c r="I21" s="1385"/>
      <c r="J21" s="1340" t="s">
        <v>769</v>
      </c>
      <c r="K21" s="1386" t="s">
        <v>831</v>
      </c>
      <c r="L21" s="1373">
        <v>18000000</v>
      </c>
      <c r="M21" s="1387"/>
      <c r="N21" s="1375" t="s">
        <v>768</v>
      </c>
      <c r="O21" s="1388" t="s">
        <v>832</v>
      </c>
      <c r="P21" s="1389">
        <v>24000000</v>
      </c>
      <c r="Q21" s="1390"/>
      <c r="R21" s="1391" t="s">
        <v>783</v>
      </c>
      <c r="S21" s="1392" t="s">
        <v>833</v>
      </c>
      <c r="T21" s="1338">
        <v>30000000</v>
      </c>
      <c r="U21" s="1377"/>
      <c r="V21" s="1345" t="s">
        <v>791</v>
      </c>
      <c r="W21" s="1393" t="s">
        <v>834</v>
      </c>
      <c r="X21" s="1394">
        <v>30000000</v>
      </c>
      <c r="Y21" s="1395"/>
      <c r="Z21" s="1396"/>
    </row>
    <row r="22" spans="3:26" ht="141.75">
      <c r="C22" s="1294">
        <v>5.2</v>
      </c>
      <c r="D22" s="1370" t="s">
        <v>723</v>
      </c>
      <c r="E22" s="1331">
        <v>0.4</v>
      </c>
      <c r="F22" s="1332">
        <v>1</v>
      </c>
      <c r="G22" s="1383" t="s">
        <v>790</v>
      </c>
      <c r="H22" s="1397"/>
      <c r="I22" s="1398">
        <v>1000000</v>
      </c>
      <c r="J22" s="1340" t="s">
        <v>782</v>
      </c>
      <c r="K22" s="1386" t="s">
        <v>790</v>
      </c>
      <c r="L22" s="1373"/>
      <c r="M22" s="1399">
        <v>1000000</v>
      </c>
      <c r="N22" s="1375" t="s">
        <v>782</v>
      </c>
      <c r="O22" s="1400" t="s">
        <v>790</v>
      </c>
      <c r="P22" s="1334"/>
      <c r="Q22" s="1401">
        <v>1000000</v>
      </c>
      <c r="R22" s="1307" t="s">
        <v>783</v>
      </c>
      <c r="S22" s="1392" t="s">
        <v>790</v>
      </c>
      <c r="T22" s="1338"/>
      <c r="U22" s="1402">
        <v>1000000</v>
      </c>
      <c r="V22" s="1345" t="s">
        <v>791</v>
      </c>
      <c r="W22" s="1403" t="s">
        <v>790</v>
      </c>
      <c r="X22" s="1339"/>
      <c r="Y22" s="1379">
        <v>1000000</v>
      </c>
      <c r="Z22" s="1347" t="s">
        <v>782</v>
      </c>
    </row>
    <row r="23" spans="3:26" ht="47.25">
      <c r="C23" s="1294">
        <v>5.3</v>
      </c>
      <c r="D23" s="1370" t="s">
        <v>729</v>
      </c>
      <c r="E23" s="1331">
        <v>0.5</v>
      </c>
      <c r="F23" s="1332">
        <v>1</v>
      </c>
      <c r="G23" s="1383" t="s">
        <v>821</v>
      </c>
      <c r="H23" s="1320"/>
      <c r="I23" s="1299">
        <v>500000</v>
      </c>
      <c r="J23" s="1300" t="s">
        <v>822</v>
      </c>
      <c r="K23" s="1386"/>
      <c r="L23" s="1373"/>
      <c r="M23" s="1404"/>
      <c r="N23" s="1405"/>
      <c r="O23" s="1400"/>
      <c r="P23" s="1334"/>
      <c r="Q23" s="1307"/>
      <c r="R23" s="1307"/>
      <c r="S23" s="1392"/>
      <c r="T23" s="1338"/>
      <c r="U23" s="1406"/>
      <c r="V23" s="1311"/>
      <c r="W23" s="1403"/>
      <c r="X23" s="1339"/>
      <c r="Y23" s="1314"/>
      <c r="Z23" s="1315"/>
    </row>
    <row r="24" spans="3:26" ht="47.25">
      <c r="C24" s="1294">
        <v>5.4</v>
      </c>
      <c r="D24" s="1370" t="s">
        <v>735</v>
      </c>
      <c r="E24" s="1331">
        <v>0.6</v>
      </c>
      <c r="F24" s="1332">
        <v>1</v>
      </c>
      <c r="G24" s="1383" t="s">
        <v>789</v>
      </c>
      <c r="H24" s="1320"/>
      <c r="I24" s="1398">
        <v>3000000</v>
      </c>
      <c r="J24" s="1340" t="s">
        <v>792</v>
      </c>
      <c r="K24" s="1386" t="s">
        <v>805</v>
      </c>
      <c r="L24" s="1373"/>
      <c r="M24" s="1399">
        <v>5000000</v>
      </c>
      <c r="N24" s="1375" t="s">
        <v>806</v>
      </c>
      <c r="O24" s="1400" t="s">
        <v>807</v>
      </c>
      <c r="P24" s="1334"/>
      <c r="Q24" s="1401">
        <v>3000000</v>
      </c>
      <c r="R24" s="1343" t="s">
        <v>784</v>
      </c>
      <c r="S24" s="1392" t="s">
        <v>808</v>
      </c>
      <c r="T24" s="1338"/>
      <c r="U24" s="1402">
        <v>3000000</v>
      </c>
      <c r="V24" s="1345" t="s">
        <v>809</v>
      </c>
      <c r="W24" s="1403" t="s">
        <v>810</v>
      </c>
      <c r="X24" s="1339"/>
      <c r="Y24" s="1379">
        <v>1000000</v>
      </c>
      <c r="Z24" s="1347" t="s">
        <v>811</v>
      </c>
    </row>
    <row r="25" spans="3:26" ht="94.5">
      <c r="C25" s="1294">
        <v>5.5</v>
      </c>
      <c r="D25" s="1370" t="s">
        <v>840</v>
      </c>
      <c r="E25" s="1331">
        <v>0.7</v>
      </c>
      <c r="F25" s="1332">
        <v>1</v>
      </c>
      <c r="G25" s="1383" t="s">
        <v>841</v>
      </c>
      <c r="H25" s="1320">
        <v>5000000</v>
      </c>
      <c r="I25" s="1407"/>
      <c r="J25" s="1340" t="s">
        <v>768</v>
      </c>
      <c r="K25" s="1386" t="s">
        <v>842</v>
      </c>
      <c r="L25" s="1373">
        <v>5000000</v>
      </c>
      <c r="M25" s="1399"/>
      <c r="N25" s="1375" t="s">
        <v>812</v>
      </c>
      <c r="O25" s="1400" t="s">
        <v>813</v>
      </c>
      <c r="P25" s="1334"/>
      <c r="Q25" s="1401">
        <v>3000000</v>
      </c>
      <c r="R25" s="1343" t="s">
        <v>814</v>
      </c>
      <c r="S25" s="1392" t="s">
        <v>815</v>
      </c>
      <c r="T25" s="1338"/>
      <c r="U25" s="1402">
        <v>5000000</v>
      </c>
      <c r="V25" s="1345" t="s">
        <v>784</v>
      </c>
      <c r="W25" s="1403"/>
      <c r="X25" s="1339"/>
      <c r="Y25" s="1346"/>
      <c r="Z25" s="1347"/>
    </row>
    <row r="26" spans="3:26" ht="79.5" thickBot="1">
      <c r="C26" s="1294">
        <v>5.6</v>
      </c>
      <c r="D26" s="1370" t="s">
        <v>764</v>
      </c>
      <c r="E26" s="1331">
        <v>0.6</v>
      </c>
      <c r="F26" s="1332">
        <v>0.1</v>
      </c>
      <c r="G26" s="1408" t="s">
        <v>800</v>
      </c>
      <c r="H26" s="1409"/>
      <c r="I26" s="1410">
        <v>5000000</v>
      </c>
      <c r="J26" s="1411" t="s">
        <v>793</v>
      </c>
      <c r="K26" s="1412" t="s">
        <v>794</v>
      </c>
      <c r="L26" s="1373"/>
      <c r="M26" s="1413">
        <v>3000000</v>
      </c>
      <c r="N26" s="1414" t="s">
        <v>795</v>
      </c>
      <c r="O26" s="1415" t="s">
        <v>797</v>
      </c>
      <c r="P26" s="1416"/>
      <c r="Q26" s="1417">
        <v>3000000</v>
      </c>
      <c r="R26" s="1418" t="s">
        <v>798</v>
      </c>
      <c r="S26" s="1419" t="s">
        <v>796</v>
      </c>
      <c r="T26" s="1420"/>
      <c r="U26" s="1421">
        <v>3000000</v>
      </c>
      <c r="V26" s="1422" t="s">
        <v>782</v>
      </c>
      <c r="W26" s="1423" t="s">
        <v>799</v>
      </c>
      <c r="X26" s="1424"/>
      <c r="Y26" s="1425">
        <v>1000000</v>
      </c>
      <c r="Z26" s="1426" t="s">
        <v>782</v>
      </c>
    </row>
    <row r="27" spans="3:26" s="1428" customFormat="1" ht="16.5" thickBot="1">
      <c r="C27" s="1427"/>
      <c r="E27" s="1429"/>
      <c r="F27" s="1429"/>
      <c r="G27" s="1430"/>
      <c r="H27" s="1431">
        <f>SUM(H8:H26)</f>
        <v>43000000</v>
      </c>
      <c r="I27" s="1431">
        <f>SUM(I8:I26)</f>
        <v>15500000</v>
      </c>
      <c r="J27" s="1432"/>
      <c r="K27" s="1433"/>
      <c r="L27" s="1434">
        <f>SUM(L8:L26)</f>
        <v>48000000</v>
      </c>
      <c r="M27" s="1435">
        <f>SUM(M8:M26)</f>
        <v>39000000</v>
      </c>
      <c r="N27" s="1432"/>
      <c r="O27" s="1430"/>
      <c r="P27" s="1435">
        <f>SUM(P8:P26)</f>
        <v>49000000</v>
      </c>
      <c r="Q27" s="1435">
        <f>SUM(Q8:Q26)</f>
        <v>45200000</v>
      </c>
      <c r="R27" s="1432"/>
      <c r="S27" s="1433"/>
      <c r="T27" s="1435">
        <f>SUM(T8:T26)</f>
        <v>40000000</v>
      </c>
      <c r="U27" s="1435">
        <f>SUM(U8:U26)</f>
        <v>20000000</v>
      </c>
      <c r="V27" s="1432"/>
      <c r="W27" s="1433"/>
      <c r="X27" s="1435">
        <f>SUM(X8:X26)</f>
        <v>35000000</v>
      </c>
      <c r="Y27" s="1435">
        <f>SUM(Y8:Y26)</f>
        <v>11000000</v>
      </c>
      <c r="Z27" s="1432"/>
    </row>
    <row r="28" spans="3:26" s="1437" customFormat="1" ht="30">
      <c r="C28" s="1436"/>
      <c r="G28" s="1560" t="s">
        <v>765</v>
      </c>
      <c r="H28" s="1438" t="s">
        <v>91</v>
      </c>
      <c r="I28" s="1438" t="s">
        <v>92</v>
      </c>
      <c r="J28" s="1439" t="s">
        <v>93</v>
      </c>
      <c r="K28" s="1440" t="s">
        <v>94</v>
      </c>
      <c r="L28" s="1440" t="s">
        <v>95</v>
      </c>
      <c r="O28" s="1441"/>
      <c r="P28" s="1442"/>
      <c r="Q28" s="1443"/>
      <c r="R28" s="1443"/>
      <c r="S28" s="1443"/>
      <c r="T28" s="1442"/>
      <c r="U28" s="1443"/>
      <c r="V28" s="1443"/>
      <c r="W28" s="1443"/>
      <c r="X28" s="1442"/>
      <c r="Y28" s="1443"/>
    </row>
    <row r="29" spans="3:26" s="1444" customFormat="1">
      <c r="G29" s="1445" t="s">
        <v>761</v>
      </c>
      <c r="H29" s="1446">
        <f>H27</f>
        <v>43000000</v>
      </c>
      <c r="I29" s="1446">
        <f>L27</f>
        <v>48000000</v>
      </c>
      <c r="J29" s="1444">
        <f>P27</f>
        <v>49000000</v>
      </c>
      <c r="K29" s="1444">
        <f>T27</f>
        <v>40000000</v>
      </c>
      <c r="L29" s="1444">
        <f>X27</f>
        <v>35000000</v>
      </c>
      <c r="O29" s="1447"/>
    </row>
    <row r="30" spans="3:26" s="1444" customFormat="1" ht="15.75">
      <c r="D30" s="1448"/>
      <c r="G30" s="1445" t="s">
        <v>762</v>
      </c>
      <c r="H30" s="1446">
        <f>I27</f>
        <v>15500000</v>
      </c>
      <c r="I30" s="1446">
        <f>M27</f>
        <v>39000000</v>
      </c>
      <c r="J30" s="1444">
        <f>Q27</f>
        <v>45200000</v>
      </c>
      <c r="K30" s="1444">
        <f>U27</f>
        <v>20000000</v>
      </c>
      <c r="L30" s="1444">
        <f>Y27</f>
        <v>11000000</v>
      </c>
      <c r="O30" s="1447"/>
    </row>
    <row r="31" spans="3:26">
      <c r="H31" s="1450">
        <f>SUM(H29:H30)</f>
        <v>58500000</v>
      </c>
      <c r="I31" s="1451">
        <f>SUM(I29:I30)</f>
        <v>87000000</v>
      </c>
      <c r="J31" s="1451">
        <f>SUM(J29:J30)</f>
        <v>94200000</v>
      </c>
      <c r="K31" s="1452">
        <f>SUM(K29:K30)</f>
        <v>60000000</v>
      </c>
      <c r="L31" s="1450">
        <f>SUM(L29:L30)</f>
        <v>46000000</v>
      </c>
    </row>
  </sheetData>
  <mergeCells count="15">
    <mergeCell ref="C2:G2"/>
    <mergeCell ref="C3:E3"/>
    <mergeCell ref="G3:J3"/>
    <mergeCell ref="K3:N3"/>
    <mergeCell ref="O3:R3"/>
    <mergeCell ref="W3:Z3"/>
    <mergeCell ref="C4:C5"/>
    <mergeCell ref="E4:E5"/>
    <mergeCell ref="F4:F5"/>
    <mergeCell ref="H4:I4"/>
    <mergeCell ref="L4:M4"/>
    <mergeCell ref="P4:Q4"/>
    <mergeCell ref="T4:U4"/>
    <mergeCell ref="X4:Y4"/>
    <mergeCell ref="S3:V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03C9F-886E-4888-9E5B-076EA129A85A}">
  <dimension ref="A1:Z43"/>
  <sheetViews>
    <sheetView topLeftCell="A16" workbookViewId="0">
      <selection activeCell="B6" sqref="B6"/>
    </sheetView>
  </sheetViews>
  <sheetFormatPr defaultRowHeight="15"/>
  <cols>
    <col min="1" max="1" width="20.140625" style="1778" customWidth="1"/>
    <col min="2" max="2" width="12.5703125" style="1778" customWidth="1"/>
    <col min="3" max="3" width="8.5703125" style="1778" customWidth="1"/>
    <col min="4" max="4" width="7" style="1841" customWidth="1"/>
    <col min="5" max="5" width="9.42578125" style="1778" customWidth="1"/>
    <col min="6" max="6" width="6.140625" style="1841" customWidth="1"/>
    <col min="7" max="7" width="7.7109375" style="1778" customWidth="1"/>
    <col min="8" max="8" width="8.42578125" style="1841" customWidth="1"/>
    <col min="9" max="9" width="9.42578125" style="1778" customWidth="1"/>
    <col min="10" max="10" width="8.42578125" style="1841" customWidth="1"/>
    <col min="11" max="11" width="8.42578125" style="1820" customWidth="1"/>
    <col min="12" max="16384" width="9.140625" style="1778"/>
  </cols>
  <sheetData>
    <row r="1" spans="1:26" s="1776" customFormat="1" ht="17.25" customHeight="1">
      <c r="A1" s="1776" t="s">
        <v>1088</v>
      </c>
      <c r="B1" s="1818" t="s">
        <v>1089</v>
      </c>
      <c r="D1" s="1819"/>
      <c r="F1" s="1819"/>
      <c r="H1" s="1819"/>
      <c r="J1" s="1819"/>
      <c r="K1" s="1820"/>
      <c r="M1" s="1821" t="s">
        <v>1090</v>
      </c>
    </row>
    <row r="2" spans="1:26" s="1826" customFormat="1" ht="18" customHeight="1">
      <c r="A2" s="1822" t="s">
        <v>3</v>
      </c>
      <c r="B2" s="1822" t="s">
        <v>959</v>
      </c>
      <c r="C2" s="1823" t="s">
        <v>144</v>
      </c>
      <c r="D2" s="1824" t="s">
        <v>1091</v>
      </c>
      <c r="E2" s="1823" t="s">
        <v>144</v>
      </c>
      <c r="F2" s="1824" t="s">
        <v>1091</v>
      </c>
      <c r="G2" s="1823" t="s">
        <v>144</v>
      </c>
      <c r="H2" s="1824" t="s">
        <v>1091</v>
      </c>
      <c r="I2" s="1823" t="s">
        <v>144</v>
      </c>
      <c r="J2" s="1824" t="s">
        <v>1091</v>
      </c>
      <c r="K2" s="1825" t="s">
        <v>249</v>
      </c>
      <c r="L2" s="1778" t="s">
        <v>1092</v>
      </c>
      <c r="M2" s="1778"/>
      <c r="N2" s="1778"/>
      <c r="O2" s="1778"/>
      <c r="P2" s="1778"/>
      <c r="Q2" s="1778" t="s">
        <v>1093</v>
      </c>
      <c r="R2" s="1778"/>
      <c r="S2" s="1778"/>
      <c r="T2" s="1778"/>
      <c r="U2" s="1778"/>
      <c r="V2" s="1778" t="s">
        <v>1094</v>
      </c>
      <c r="W2" s="1778"/>
      <c r="X2" s="1778"/>
      <c r="Y2" s="1778"/>
      <c r="Z2" s="1778"/>
    </row>
    <row r="3" spans="1:26" s="1776" customFormat="1">
      <c r="A3" s="151" t="s">
        <v>10</v>
      </c>
      <c r="B3" s="151" t="s">
        <v>1095</v>
      </c>
      <c r="C3" s="1827">
        <v>44317</v>
      </c>
      <c r="D3" s="1828"/>
      <c r="E3" s="1827">
        <v>44348</v>
      </c>
      <c r="F3" s="1828"/>
      <c r="G3" s="1827">
        <v>44378</v>
      </c>
      <c r="H3" s="1828"/>
      <c r="I3" s="1827">
        <v>44409</v>
      </c>
      <c r="J3" s="1828"/>
      <c r="K3" s="1829" t="s">
        <v>1096</v>
      </c>
      <c r="L3" s="1776" t="s">
        <v>1097</v>
      </c>
      <c r="M3" s="1776" t="s">
        <v>1098</v>
      </c>
      <c r="N3" s="1776" t="s">
        <v>1099</v>
      </c>
      <c r="O3" s="1776" t="s">
        <v>1100</v>
      </c>
      <c r="P3" s="1776" t="s">
        <v>1101</v>
      </c>
      <c r="Q3" s="1776" t="s">
        <v>1097</v>
      </c>
      <c r="R3" s="1776" t="s">
        <v>1098</v>
      </c>
      <c r="S3" s="1776" t="s">
        <v>1099</v>
      </c>
      <c r="T3" s="1776" t="s">
        <v>1100</v>
      </c>
      <c r="U3" s="1776" t="s">
        <v>1101</v>
      </c>
      <c r="V3" s="1776" t="s">
        <v>1097</v>
      </c>
      <c r="W3" s="1776" t="s">
        <v>1098</v>
      </c>
      <c r="X3" s="1776" t="s">
        <v>1099</v>
      </c>
      <c r="Y3" s="1776" t="s">
        <v>1100</v>
      </c>
      <c r="Z3" s="1776" t="s">
        <v>1101</v>
      </c>
    </row>
    <row r="4" spans="1:26">
      <c r="A4" s="26"/>
      <c r="B4" s="26" t="s">
        <v>1102</v>
      </c>
      <c r="C4" s="26">
        <f>SUM(L4:P4)</f>
        <v>10072</v>
      </c>
      <c r="D4" s="1830">
        <f>(C4/$C$10)*100</f>
        <v>46.361334867663984</v>
      </c>
      <c r="E4" s="26">
        <f t="shared" ref="E4:E9" si="0">SUM(Q4:U4)</f>
        <v>8809</v>
      </c>
      <c r="F4" s="1830">
        <f>(E4/$E$10)*100</f>
        <v>40.699501016447975</v>
      </c>
      <c r="G4" s="26">
        <f>SUM(V4:Z4)</f>
        <v>12083</v>
      </c>
      <c r="H4" s="1830">
        <f>(G4/$G$10)*100</f>
        <v>44.874842159994053</v>
      </c>
      <c r="I4" s="26">
        <v>11054</v>
      </c>
      <c r="J4" s="1830">
        <f>(I4/$I$10)*100</f>
        <v>40.159854677565846</v>
      </c>
      <c r="K4" s="1831">
        <f>(D4+F4+H4+J4)/4</f>
        <v>43.023883180417961</v>
      </c>
      <c r="L4" s="1778">
        <v>7404</v>
      </c>
      <c r="M4" s="1778">
        <v>1079</v>
      </c>
      <c r="N4" s="1778">
        <v>1007</v>
      </c>
      <c r="O4" s="1778">
        <v>582</v>
      </c>
      <c r="Q4" s="1778">
        <v>6729</v>
      </c>
      <c r="R4" s="1778">
        <v>926</v>
      </c>
      <c r="S4" s="1778">
        <v>718</v>
      </c>
      <c r="T4" s="1778">
        <v>436</v>
      </c>
      <c r="V4" s="1778">
        <v>12083</v>
      </c>
    </row>
    <row r="5" spans="1:26">
      <c r="A5" s="26"/>
      <c r="B5" s="26" t="s">
        <v>1103</v>
      </c>
      <c r="C5" s="26">
        <f t="shared" ref="C5:C9" si="1">SUM(L5:P5)</f>
        <v>10846</v>
      </c>
      <c r="D5" s="1830">
        <f t="shared" ref="D5:D9" si="2">(C5/$C$10)*100</f>
        <v>49.924050632911396</v>
      </c>
      <c r="E5" s="26">
        <f t="shared" si="0"/>
        <v>11667</v>
      </c>
      <c r="F5" s="1830">
        <f t="shared" ref="F5:F9" si="3">(E5/$E$10)*100</f>
        <v>53.904084272777673</v>
      </c>
      <c r="G5" s="26">
        <f t="shared" ref="G5:G9" si="4">SUM(V5:Z5)</f>
        <v>11004</v>
      </c>
      <c r="H5" s="1830">
        <f t="shared" ref="H5:H9" si="5">(G5/$G$10)*100</f>
        <v>40.867562950308248</v>
      </c>
      <c r="I5" s="26">
        <v>12184</v>
      </c>
      <c r="J5" s="1830">
        <f t="shared" ref="J5:J9" si="6">(I5/$I$10)*100</f>
        <v>44.265213442325155</v>
      </c>
      <c r="K5" s="1831">
        <f t="shared" ref="K5:K9" si="7">(D5+F5+H5+J5)/4</f>
        <v>47.240227824580614</v>
      </c>
      <c r="L5" s="1778">
        <v>7655</v>
      </c>
      <c r="M5" s="1778">
        <v>1654</v>
      </c>
      <c r="N5" s="1778">
        <v>1124</v>
      </c>
      <c r="O5" s="1778">
        <v>413</v>
      </c>
      <c r="Q5" s="1778">
        <v>8067</v>
      </c>
      <c r="R5" s="1778">
        <v>1742</v>
      </c>
      <c r="S5" s="1778">
        <v>1335</v>
      </c>
      <c r="T5" s="1778">
        <v>523</v>
      </c>
      <c r="V5" s="1778">
        <v>11004</v>
      </c>
    </row>
    <row r="6" spans="1:26">
      <c r="A6" s="26"/>
      <c r="B6" s="26" t="s">
        <v>1104</v>
      </c>
      <c r="C6" s="26">
        <f t="shared" si="1"/>
        <v>681</v>
      </c>
      <c r="D6" s="1830">
        <f t="shared" si="2"/>
        <v>3.1346375143843495</v>
      </c>
      <c r="E6" s="26">
        <f t="shared" si="0"/>
        <v>982</v>
      </c>
      <c r="F6" s="1830">
        <f t="shared" si="3"/>
        <v>4.5370541489558303</v>
      </c>
      <c r="G6" s="26">
        <f t="shared" si="4"/>
        <v>2952</v>
      </c>
      <c r="H6" s="1830">
        <f t="shared" si="5"/>
        <v>10.963381118621406</v>
      </c>
      <c r="I6" s="26">
        <v>3378</v>
      </c>
      <c r="J6" s="1830">
        <f t="shared" si="6"/>
        <v>12.272479564032697</v>
      </c>
      <c r="K6" s="1831">
        <f t="shared" si="7"/>
        <v>7.7268880864985707</v>
      </c>
      <c r="L6" s="1778">
        <v>485</v>
      </c>
      <c r="M6" s="1778">
        <v>139</v>
      </c>
      <c r="N6" s="1778">
        <v>27</v>
      </c>
      <c r="O6" s="1778">
        <v>30</v>
      </c>
      <c r="Q6" s="1778">
        <v>671</v>
      </c>
      <c r="R6" s="1778">
        <v>171</v>
      </c>
      <c r="S6" s="1778">
        <v>110</v>
      </c>
      <c r="T6" s="1778">
        <v>30</v>
      </c>
      <c r="V6" s="1778">
        <v>2952</v>
      </c>
    </row>
    <row r="7" spans="1:26">
      <c r="A7" s="26"/>
      <c r="B7" s="26" t="s">
        <v>1105</v>
      </c>
      <c r="C7" s="26">
        <f t="shared" si="1"/>
        <v>85</v>
      </c>
      <c r="D7" s="1830">
        <f t="shared" si="2"/>
        <v>0.3912543153049482</v>
      </c>
      <c r="E7" s="26">
        <f t="shared" si="0"/>
        <v>143</v>
      </c>
      <c r="F7" s="1830">
        <f t="shared" si="3"/>
        <v>0.66069118462391419</v>
      </c>
      <c r="G7" s="26">
        <f t="shared" si="4"/>
        <v>564</v>
      </c>
      <c r="H7" s="1830">
        <f t="shared" si="5"/>
        <v>2.094629725915472</v>
      </c>
      <c r="I7" s="26">
        <v>632</v>
      </c>
      <c r="J7" s="1830">
        <f t="shared" si="6"/>
        <v>2.2960944595821977</v>
      </c>
      <c r="K7" s="1831">
        <f t="shared" si="7"/>
        <v>1.360667421356633</v>
      </c>
      <c r="L7" s="1778">
        <v>62</v>
      </c>
      <c r="M7" s="1778">
        <v>19</v>
      </c>
      <c r="N7" s="1778">
        <v>0</v>
      </c>
      <c r="O7" s="1778">
        <v>4</v>
      </c>
      <c r="Q7" s="1778">
        <v>89</v>
      </c>
      <c r="R7" s="1778">
        <v>29</v>
      </c>
      <c r="S7" s="1778">
        <v>20</v>
      </c>
      <c r="T7" s="1778">
        <v>5</v>
      </c>
      <c r="V7" s="1778">
        <v>564</v>
      </c>
    </row>
    <row r="8" spans="1:26">
      <c r="A8" s="26"/>
      <c r="B8" s="26" t="s">
        <v>1106</v>
      </c>
      <c r="C8" s="26">
        <f t="shared" si="1"/>
        <v>39</v>
      </c>
      <c r="D8" s="1830">
        <f t="shared" si="2"/>
        <v>0.17951668584579977</v>
      </c>
      <c r="E8" s="26">
        <f t="shared" si="0"/>
        <v>40</v>
      </c>
      <c r="F8" s="1830">
        <f t="shared" si="3"/>
        <v>0.18480872297172427</v>
      </c>
      <c r="G8" s="26">
        <f t="shared" si="4"/>
        <v>275</v>
      </c>
      <c r="H8" s="1830">
        <f t="shared" si="5"/>
        <v>1.0213176855084305</v>
      </c>
      <c r="I8" s="26">
        <v>235</v>
      </c>
      <c r="J8" s="1830">
        <f t="shared" si="6"/>
        <v>0.8537693006357856</v>
      </c>
      <c r="K8" s="1831">
        <f t="shared" si="7"/>
        <v>0.5598530987404351</v>
      </c>
      <c r="L8" s="1778">
        <v>26</v>
      </c>
      <c r="M8" s="1778">
        <v>2</v>
      </c>
      <c r="N8" s="1778">
        <v>10</v>
      </c>
      <c r="O8" s="1778">
        <v>1</v>
      </c>
      <c r="Q8" s="1778">
        <v>26</v>
      </c>
      <c r="R8" s="1778">
        <v>8</v>
      </c>
      <c r="S8" s="1778">
        <v>5</v>
      </c>
      <c r="T8" s="1778">
        <v>1</v>
      </c>
      <c r="V8" s="1778">
        <v>275</v>
      </c>
    </row>
    <row r="9" spans="1:26">
      <c r="A9" s="26"/>
      <c r="B9" s="26" t="s">
        <v>1107</v>
      </c>
      <c r="C9" s="26">
        <f t="shared" si="1"/>
        <v>2</v>
      </c>
      <c r="D9" s="1830">
        <f t="shared" si="2"/>
        <v>9.2059838895281933E-3</v>
      </c>
      <c r="E9" s="26">
        <f t="shared" si="0"/>
        <v>3</v>
      </c>
      <c r="F9" s="1830">
        <f t="shared" si="3"/>
        <v>1.3860654222879319E-2</v>
      </c>
      <c r="G9" s="26">
        <f t="shared" si="4"/>
        <v>48</v>
      </c>
      <c r="H9" s="1830">
        <f t="shared" si="5"/>
        <v>0.17826635965238058</v>
      </c>
      <c r="I9" s="26">
        <v>42</v>
      </c>
      <c r="J9" s="1830">
        <f t="shared" si="6"/>
        <v>0.15258855585831063</v>
      </c>
      <c r="K9" s="1831">
        <f t="shared" si="7"/>
        <v>8.8480388405774685E-2</v>
      </c>
      <c r="L9" s="1778">
        <v>2</v>
      </c>
      <c r="M9" s="1778">
        <v>0</v>
      </c>
      <c r="N9" s="1778">
        <v>0</v>
      </c>
      <c r="O9" s="1778">
        <v>0</v>
      </c>
      <c r="Q9" s="1778">
        <v>2</v>
      </c>
      <c r="R9" s="1778">
        <v>0</v>
      </c>
      <c r="S9" s="1778">
        <v>1</v>
      </c>
      <c r="T9" s="1778">
        <v>0</v>
      </c>
      <c r="V9" s="1778">
        <v>48</v>
      </c>
    </row>
    <row r="10" spans="1:26" s="1776" customFormat="1">
      <c r="A10" s="151"/>
      <c r="B10" s="151" t="s">
        <v>645</v>
      </c>
      <c r="C10" s="151">
        <f>SUM(C4:C9)</f>
        <v>21725</v>
      </c>
      <c r="D10" s="1832">
        <f t="shared" ref="D10:J10" si="8">SUM(D4:D9)</f>
        <v>100.00000000000001</v>
      </c>
      <c r="E10" s="151">
        <f t="shared" si="8"/>
        <v>21644</v>
      </c>
      <c r="F10" s="1832">
        <f t="shared" si="8"/>
        <v>100</v>
      </c>
      <c r="G10" s="151">
        <f t="shared" si="8"/>
        <v>26926</v>
      </c>
      <c r="H10" s="1832">
        <f t="shared" si="8"/>
        <v>99.999999999999986</v>
      </c>
      <c r="I10" s="151">
        <f t="shared" si="8"/>
        <v>27525</v>
      </c>
      <c r="J10" s="1832">
        <f t="shared" si="8"/>
        <v>99.999999999999986</v>
      </c>
      <c r="K10" s="1833"/>
      <c r="L10" s="1834">
        <f>SUM(L4:L9)</f>
        <v>15634</v>
      </c>
      <c r="M10" s="1834">
        <f t="shared" ref="M10:Z10" si="9">SUM(M4:M9)</f>
        <v>2893</v>
      </c>
      <c r="N10" s="1834">
        <f t="shared" si="9"/>
        <v>2168</v>
      </c>
      <c r="O10" s="1834">
        <f t="shared" si="9"/>
        <v>1030</v>
      </c>
      <c r="P10" s="1834">
        <f t="shared" si="9"/>
        <v>0</v>
      </c>
      <c r="Q10" s="1834">
        <f t="shared" si="9"/>
        <v>15584</v>
      </c>
      <c r="R10" s="1834">
        <f t="shared" si="9"/>
        <v>2876</v>
      </c>
      <c r="S10" s="1834">
        <f t="shared" si="9"/>
        <v>2189</v>
      </c>
      <c r="T10" s="1834">
        <f t="shared" si="9"/>
        <v>995</v>
      </c>
      <c r="U10" s="1834">
        <f t="shared" si="9"/>
        <v>0</v>
      </c>
      <c r="V10" s="1834">
        <f t="shared" si="9"/>
        <v>26926</v>
      </c>
      <c r="W10" s="1834">
        <f t="shared" si="9"/>
        <v>0</v>
      </c>
      <c r="X10" s="1834">
        <f t="shared" si="9"/>
        <v>0</v>
      </c>
      <c r="Y10" s="1834">
        <f t="shared" si="9"/>
        <v>0</v>
      </c>
      <c r="Z10" s="1834">
        <f t="shared" si="9"/>
        <v>0</v>
      </c>
    </row>
    <row r="11" spans="1:26">
      <c r="A11" s="26"/>
      <c r="B11" s="26"/>
      <c r="C11" s="26"/>
      <c r="D11" s="1835"/>
      <c r="E11" s="26"/>
      <c r="F11" s="1835"/>
      <c r="G11" s="26"/>
      <c r="H11" s="1835"/>
      <c r="I11" s="26"/>
      <c r="J11" s="1835"/>
      <c r="K11" s="1836"/>
      <c r="L11" s="1778" t="s">
        <v>1092</v>
      </c>
      <c r="Q11" s="1778" t="s">
        <v>1093</v>
      </c>
      <c r="V11" s="1778" t="s">
        <v>1094</v>
      </c>
    </row>
    <row r="12" spans="1:26" s="1776" customFormat="1">
      <c r="A12" s="151" t="s">
        <v>12</v>
      </c>
      <c r="B12" s="151" t="s">
        <v>1095</v>
      </c>
      <c r="C12" s="1837">
        <v>44317</v>
      </c>
      <c r="D12" s="1824" t="s">
        <v>1091</v>
      </c>
      <c r="E12" s="1837">
        <v>44348</v>
      </c>
      <c r="F12" s="1824" t="s">
        <v>1091</v>
      </c>
      <c r="G12" s="1837">
        <v>44378</v>
      </c>
      <c r="H12" s="1824" t="s">
        <v>1091</v>
      </c>
      <c r="I12" s="1837">
        <v>44409</v>
      </c>
      <c r="J12" s="1824" t="s">
        <v>1091</v>
      </c>
      <c r="K12" s="1825"/>
      <c r="L12" s="1776" t="s">
        <v>1097</v>
      </c>
      <c r="M12" s="1776" t="s">
        <v>1098</v>
      </c>
      <c r="N12" s="1776" t="s">
        <v>1099</v>
      </c>
      <c r="O12" s="1776" t="s">
        <v>1100</v>
      </c>
      <c r="P12" s="1776" t="s">
        <v>1101</v>
      </c>
      <c r="Q12" s="1776" t="s">
        <v>1097</v>
      </c>
      <c r="R12" s="1776" t="s">
        <v>1098</v>
      </c>
      <c r="S12" s="1776" t="s">
        <v>1099</v>
      </c>
      <c r="T12" s="1776" t="s">
        <v>1100</v>
      </c>
      <c r="U12" s="1776" t="s">
        <v>1101</v>
      </c>
      <c r="V12" s="1776" t="s">
        <v>1097</v>
      </c>
      <c r="W12" s="1776" t="s">
        <v>1098</v>
      </c>
      <c r="X12" s="1776" t="s">
        <v>1099</v>
      </c>
      <c r="Y12" s="1776" t="s">
        <v>1100</v>
      </c>
      <c r="Z12" s="1776" t="s">
        <v>1101</v>
      </c>
    </row>
    <row r="13" spans="1:26">
      <c r="A13" s="26"/>
      <c r="B13" s="26" t="s">
        <v>1102</v>
      </c>
      <c r="C13" s="26">
        <f>SUM(L13:P13)</f>
        <v>47</v>
      </c>
      <c r="D13" s="1830">
        <f>(C13/$C$19)*100</f>
        <v>29.746835443037973</v>
      </c>
      <c r="E13" s="26">
        <f t="shared" ref="E13:E18" si="10">SUM(Q13:U13)</f>
        <v>52</v>
      </c>
      <c r="F13" s="1830">
        <f>(E13/$E$19)*100</f>
        <v>31.901840490797547</v>
      </c>
      <c r="G13" s="26">
        <f>SUM(V13:Z13)</f>
        <v>66</v>
      </c>
      <c r="H13" s="1830">
        <f>(G13/$G$19)*100</f>
        <v>19.469026548672566</v>
      </c>
      <c r="I13" s="26">
        <v>55</v>
      </c>
      <c r="J13" s="1830">
        <f>(I13/$I$19)*100</f>
        <v>14.666666666666666</v>
      </c>
      <c r="K13" s="1831">
        <f>(D13+F13+H13+J13)/4</f>
        <v>23.946092287293691</v>
      </c>
      <c r="L13" s="1778">
        <v>35</v>
      </c>
      <c r="M13" s="1778">
        <v>10</v>
      </c>
      <c r="N13" s="1778">
        <v>1</v>
      </c>
      <c r="O13" s="1778">
        <v>1</v>
      </c>
      <c r="Q13" s="1778">
        <v>35</v>
      </c>
      <c r="R13" s="1778">
        <v>14</v>
      </c>
      <c r="S13" s="1778">
        <v>1</v>
      </c>
      <c r="T13" s="1778">
        <v>2</v>
      </c>
      <c r="V13" s="1778">
        <v>66</v>
      </c>
    </row>
    <row r="14" spans="1:26">
      <c r="A14" s="26"/>
      <c r="B14" s="26" t="s">
        <v>1103</v>
      </c>
      <c r="C14" s="26">
        <f t="shared" ref="C14:C18" si="11">SUM(L14:P14)</f>
        <v>61</v>
      </c>
      <c r="D14" s="1830">
        <f>(C14/$C$19)*100</f>
        <v>38.607594936708864</v>
      </c>
      <c r="E14" s="26">
        <f t="shared" si="10"/>
        <v>57</v>
      </c>
      <c r="F14" s="1830">
        <f t="shared" ref="F14:F18" si="12">(E14/$E$19)*100</f>
        <v>34.969325153374228</v>
      </c>
      <c r="G14" s="26">
        <f t="shared" ref="G14:G18" si="13">SUM(V14:Z14)</f>
        <v>96</v>
      </c>
      <c r="H14" s="1830">
        <f t="shared" ref="H14:H18" si="14">(G14/$G$19)*100</f>
        <v>28.318584070796462</v>
      </c>
      <c r="I14" s="26">
        <v>97</v>
      </c>
      <c r="J14" s="1830">
        <f t="shared" ref="J14:J18" si="15">(I14/$I$19)*100</f>
        <v>25.866666666666667</v>
      </c>
      <c r="K14" s="1831">
        <f t="shared" ref="K14:K18" si="16">(D14+F14+H14+J14)/4</f>
        <v>31.940542706886554</v>
      </c>
      <c r="L14" s="1778">
        <v>47</v>
      </c>
      <c r="M14" s="1778">
        <v>12</v>
      </c>
      <c r="N14" s="1778">
        <v>0</v>
      </c>
      <c r="O14" s="1778">
        <v>2</v>
      </c>
      <c r="Q14" s="1778">
        <v>46</v>
      </c>
      <c r="R14" s="1778">
        <v>10</v>
      </c>
      <c r="S14" s="1778">
        <v>0</v>
      </c>
      <c r="T14" s="1778">
        <v>1</v>
      </c>
      <c r="V14" s="1778">
        <v>96</v>
      </c>
    </row>
    <row r="15" spans="1:26">
      <c r="A15" s="26"/>
      <c r="B15" s="26" t="s">
        <v>1104</v>
      </c>
      <c r="C15" s="26">
        <f t="shared" si="11"/>
        <v>31</v>
      </c>
      <c r="D15" s="1830">
        <f t="shared" ref="D15:D18" si="17">(C15/$C$19)*100</f>
        <v>19.62025316455696</v>
      </c>
      <c r="E15" s="26">
        <f t="shared" si="10"/>
        <v>29</v>
      </c>
      <c r="F15" s="1830">
        <f t="shared" si="12"/>
        <v>17.791411042944784</v>
      </c>
      <c r="G15" s="26">
        <f t="shared" si="13"/>
        <v>81</v>
      </c>
      <c r="H15" s="1830">
        <f t="shared" si="14"/>
        <v>23.893805309734514</v>
      </c>
      <c r="I15" s="26">
        <v>81</v>
      </c>
      <c r="J15" s="1830">
        <f t="shared" si="15"/>
        <v>21.6</v>
      </c>
      <c r="K15" s="1831">
        <f t="shared" si="16"/>
        <v>20.726367379309067</v>
      </c>
      <c r="L15" s="1778">
        <v>18</v>
      </c>
      <c r="M15" s="1778">
        <v>11</v>
      </c>
      <c r="N15" s="1778">
        <v>1</v>
      </c>
      <c r="O15" s="1778">
        <v>1</v>
      </c>
      <c r="Q15" s="1778">
        <v>19</v>
      </c>
      <c r="R15" s="1778">
        <v>8</v>
      </c>
      <c r="S15" s="1778">
        <v>1</v>
      </c>
      <c r="T15" s="1778">
        <v>1</v>
      </c>
      <c r="V15" s="1778">
        <v>81</v>
      </c>
    </row>
    <row r="16" spans="1:26">
      <c r="A16" s="26"/>
      <c r="B16" s="26" t="s">
        <v>1105</v>
      </c>
      <c r="C16" s="26">
        <f t="shared" si="11"/>
        <v>11</v>
      </c>
      <c r="D16" s="1830">
        <f t="shared" si="17"/>
        <v>6.962025316455696</v>
      </c>
      <c r="E16" s="26">
        <f t="shared" si="10"/>
        <v>15</v>
      </c>
      <c r="F16" s="1830">
        <f t="shared" si="12"/>
        <v>9.2024539877300615</v>
      </c>
      <c r="G16" s="26">
        <f t="shared" si="13"/>
        <v>40</v>
      </c>
      <c r="H16" s="1830">
        <f t="shared" si="14"/>
        <v>11.799410029498524</v>
      </c>
      <c r="I16" s="26">
        <v>52</v>
      </c>
      <c r="J16" s="1830">
        <f t="shared" si="15"/>
        <v>13.866666666666665</v>
      </c>
      <c r="K16" s="1831">
        <f t="shared" si="16"/>
        <v>10.457639000087736</v>
      </c>
      <c r="L16" s="1778">
        <v>9</v>
      </c>
      <c r="M16" s="1778">
        <v>2</v>
      </c>
      <c r="N16" s="1778">
        <v>0</v>
      </c>
      <c r="O16" s="1778">
        <v>0</v>
      </c>
      <c r="Q16" s="1778">
        <v>12</v>
      </c>
      <c r="R16" s="1778">
        <v>3</v>
      </c>
      <c r="S16" s="1778">
        <v>0</v>
      </c>
      <c r="T16" s="1778">
        <v>0</v>
      </c>
      <c r="V16" s="1778">
        <v>40</v>
      </c>
    </row>
    <row r="17" spans="1:26">
      <c r="A17" s="26"/>
      <c r="B17" s="26" t="s">
        <v>1106</v>
      </c>
      <c r="C17" s="26">
        <f t="shared" si="11"/>
        <v>6</v>
      </c>
      <c r="D17" s="1830">
        <f t="shared" si="17"/>
        <v>3.79746835443038</v>
      </c>
      <c r="E17" s="26">
        <f t="shared" si="10"/>
        <v>9</v>
      </c>
      <c r="F17" s="1830">
        <f t="shared" si="12"/>
        <v>5.5214723926380369</v>
      </c>
      <c r="G17" s="26">
        <f t="shared" si="13"/>
        <v>50</v>
      </c>
      <c r="H17" s="1830">
        <f t="shared" si="14"/>
        <v>14.749262536873156</v>
      </c>
      <c r="I17" s="26">
        <v>60</v>
      </c>
      <c r="J17" s="1830">
        <f t="shared" si="15"/>
        <v>16</v>
      </c>
      <c r="K17" s="1831">
        <f t="shared" si="16"/>
        <v>10.017050820985393</v>
      </c>
      <c r="L17" s="1778">
        <v>6</v>
      </c>
      <c r="M17" s="1778">
        <v>0</v>
      </c>
      <c r="N17" s="1778">
        <v>0</v>
      </c>
      <c r="O17" s="1778">
        <v>0</v>
      </c>
      <c r="Q17" s="1778">
        <v>8</v>
      </c>
      <c r="R17" s="1778">
        <v>1</v>
      </c>
      <c r="S17" s="1778">
        <v>0</v>
      </c>
      <c r="T17" s="1778">
        <v>0</v>
      </c>
      <c r="V17" s="1778">
        <v>50</v>
      </c>
    </row>
    <row r="18" spans="1:26">
      <c r="A18" s="26"/>
      <c r="B18" s="26" t="s">
        <v>1107</v>
      </c>
      <c r="C18" s="26">
        <f t="shared" si="11"/>
        <v>2</v>
      </c>
      <c r="D18" s="1830">
        <f t="shared" si="17"/>
        <v>1.2658227848101267</v>
      </c>
      <c r="E18" s="26">
        <f t="shared" si="10"/>
        <v>1</v>
      </c>
      <c r="F18" s="1830">
        <f t="shared" si="12"/>
        <v>0.61349693251533743</v>
      </c>
      <c r="G18" s="26">
        <f t="shared" si="13"/>
        <v>6</v>
      </c>
      <c r="H18" s="1830">
        <f t="shared" si="14"/>
        <v>1.7699115044247788</v>
      </c>
      <c r="I18" s="26">
        <v>30</v>
      </c>
      <c r="J18" s="1830">
        <f t="shared" si="15"/>
        <v>8</v>
      </c>
      <c r="K18" s="1831">
        <f t="shared" si="16"/>
        <v>2.9123078054375608</v>
      </c>
      <c r="L18" s="1778">
        <v>2</v>
      </c>
      <c r="M18" s="1778">
        <v>0</v>
      </c>
      <c r="N18" s="1778">
        <v>0</v>
      </c>
      <c r="O18" s="1778">
        <v>0</v>
      </c>
      <c r="Q18" s="1778">
        <v>1</v>
      </c>
      <c r="R18" s="1778">
        <v>0</v>
      </c>
      <c r="S18" s="1778">
        <v>0</v>
      </c>
      <c r="T18" s="1778">
        <v>0</v>
      </c>
      <c r="V18" s="1778">
        <v>6</v>
      </c>
    </row>
    <row r="19" spans="1:26" s="1776" customFormat="1">
      <c r="A19" s="151"/>
      <c r="B19" s="151" t="s">
        <v>645</v>
      </c>
      <c r="C19" s="151">
        <f>SUM(C13:C18)</f>
        <v>158</v>
      </c>
      <c r="D19" s="1832">
        <f>SUM(D13:D18)</f>
        <v>100</v>
      </c>
      <c r="E19" s="151">
        <f t="shared" ref="E19:Z19" si="18">SUM(E13:E18)</f>
        <v>163</v>
      </c>
      <c r="F19" s="1832">
        <f t="shared" si="18"/>
        <v>100</v>
      </c>
      <c r="G19" s="151">
        <f t="shared" si="18"/>
        <v>339</v>
      </c>
      <c r="H19" s="1832">
        <f t="shared" si="18"/>
        <v>100.00000000000001</v>
      </c>
      <c r="I19" s="151">
        <f t="shared" si="18"/>
        <v>375</v>
      </c>
      <c r="J19" s="1832">
        <f t="shared" si="18"/>
        <v>100</v>
      </c>
      <c r="K19" s="1833"/>
      <c r="L19" s="1838">
        <f t="shared" si="18"/>
        <v>117</v>
      </c>
      <c r="M19" s="1838">
        <f t="shared" si="18"/>
        <v>35</v>
      </c>
      <c r="N19" s="1838">
        <f t="shared" si="18"/>
        <v>2</v>
      </c>
      <c r="O19" s="1838">
        <f t="shared" si="18"/>
        <v>4</v>
      </c>
      <c r="P19" s="1838">
        <f t="shared" si="18"/>
        <v>0</v>
      </c>
      <c r="Q19" s="1838">
        <f t="shared" si="18"/>
        <v>121</v>
      </c>
      <c r="R19" s="1838">
        <f t="shared" si="18"/>
        <v>36</v>
      </c>
      <c r="S19" s="1838">
        <f t="shared" si="18"/>
        <v>2</v>
      </c>
      <c r="T19" s="1838">
        <f t="shared" si="18"/>
        <v>4</v>
      </c>
      <c r="U19" s="1838">
        <f t="shared" si="18"/>
        <v>0</v>
      </c>
      <c r="V19" s="1838">
        <f t="shared" si="18"/>
        <v>339</v>
      </c>
      <c r="W19" s="1838">
        <f t="shared" si="18"/>
        <v>0</v>
      </c>
      <c r="X19" s="1838">
        <f t="shared" si="18"/>
        <v>0</v>
      </c>
      <c r="Y19" s="1838">
        <f t="shared" si="18"/>
        <v>0</v>
      </c>
      <c r="Z19" s="1838">
        <f t="shared" si="18"/>
        <v>0</v>
      </c>
    </row>
    <row r="20" spans="1:26">
      <c r="A20" s="26"/>
      <c r="B20" s="26"/>
      <c r="C20" s="26"/>
      <c r="D20" s="1835"/>
      <c r="E20" s="26"/>
      <c r="F20" s="1835"/>
      <c r="G20" s="26"/>
      <c r="H20" s="1835"/>
      <c r="I20" s="26"/>
      <c r="J20" s="1835"/>
      <c r="K20" s="1836"/>
      <c r="L20" s="1778" t="s">
        <v>1092</v>
      </c>
      <c r="Q20" s="1778" t="s">
        <v>1093</v>
      </c>
      <c r="V20" s="1778" t="s">
        <v>1094</v>
      </c>
    </row>
    <row r="21" spans="1:26">
      <c r="A21" s="151" t="s">
        <v>1108</v>
      </c>
      <c r="B21" s="151" t="s">
        <v>1095</v>
      </c>
      <c r="C21" s="1837">
        <v>44317</v>
      </c>
      <c r="D21" s="1824" t="s">
        <v>1091</v>
      </c>
      <c r="E21" s="1837">
        <v>44348</v>
      </c>
      <c r="F21" s="1824" t="s">
        <v>1091</v>
      </c>
      <c r="G21" s="1837">
        <v>44378</v>
      </c>
      <c r="H21" s="1824" t="s">
        <v>1091</v>
      </c>
      <c r="I21" s="1837">
        <v>44409</v>
      </c>
      <c r="J21" s="1824" t="s">
        <v>1091</v>
      </c>
      <c r="K21" s="1825"/>
      <c r="L21" s="1776" t="s">
        <v>1097</v>
      </c>
      <c r="M21" s="1776" t="s">
        <v>1098</v>
      </c>
      <c r="N21" s="1776" t="s">
        <v>1099</v>
      </c>
      <c r="O21" s="1776" t="s">
        <v>1100</v>
      </c>
      <c r="P21" s="1776" t="s">
        <v>1101</v>
      </c>
      <c r="Q21" s="1776" t="s">
        <v>1097</v>
      </c>
      <c r="R21" s="1776" t="s">
        <v>1098</v>
      </c>
      <c r="S21" s="1776" t="s">
        <v>1099</v>
      </c>
      <c r="T21" s="1776" t="s">
        <v>1100</v>
      </c>
      <c r="U21" s="1776" t="s">
        <v>1101</v>
      </c>
      <c r="V21" s="1776" t="s">
        <v>1097</v>
      </c>
      <c r="W21" s="1776" t="s">
        <v>1098</v>
      </c>
      <c r="X21" s="1776" t="s">
        <v>1099</v>
      </c>
      <c r="Y21" s="1776" t="s">
        <v>1100</v>
      </c>
      <c r="Z21" s="1776" t="s">
        <v>1101</v>
      </c>
    </row>
    <row r="22" spans="1:26">
      <c r="A22" s="26"/>
      <c r="B22" s="26" t="s">
        <v>1102</v>
      </c>
      <c r="C22" s="26">
        <f>SUM(L22:P22)</f>
        <v>10</v>
      </c>
      <c r="D22" s="1830">
        <f>(C22/$C$28)*100</f>
        <v>21.276595744680851</v>
      </c>
      <c r="E22" s="26">
        <f t="shared" ref="E22:E27" si="19">SUM(Q22:U22)</f>
        <v>11</v>
      </c>
      <c r="F22" s="1830">
        <f>(E22/$E$28)*100</f>
        <v>23.404255319148938</v>
      </c>
      <c r="G22" s="26">
        <f>SUM(V22:Z22)</f>
        <v>17</v>
      </c>
      <c r="H22" s="1832">
        <f>(G22/$G$28)*100</f>
        <v>10</v>
      </c>
      <c r="I22" s="26">
        <v>19</v>
      </c>
      <c r="J22" s="1832">
        <f>(I22/$I$28)*100</f>
        <v>11.445783132530121</v>
      </c>
      <c r="K22" s="1833">
        <f>(D22+F22+H22+J22)/4</f>
        <v>16.531658549089979</v>
      </c>
      <c r="L22" s="1778">
        <v>9</v>
      </c>
      <c r="M22" s="1778">
        <v>1</v>
      </c>
      <c r="N22" s="1778">
        <v>0</v>
      </c>
      <c r="O22" s="1778">
        <v>0</v>
      </c>
      <c r="Q22" s="1778">
        <v>10</v>
      </c>
      <c r="R22" s="1778">
        <v>1</v>
      </c>
      <c r="S22" s="1778">
        <v>0</v>
      </c>
      <c r="T22" s="1778">
        <v>0</v>
      </c>
      <c r="V22" s="1778">
        <v>17</v>
      </c>
    </row>
    <row r="23" spans="1:26">
      <c r="A23" s="26"/>
      <c r="B23" s="26" t="s">
        <v>1103</v>
      </c>
      <c r="C23" s="26">
        <f t="shared" ref="C23:C27" si="20">SUM(L23:P23)</f>
        <v>17</v>
      </c>
      <c r="D23" s="1830">
        <f t="shared" ref="D23:D27" si="21">(C23/$C$28)*100</f>
        <v>36.170212765957451</v>
      </c>
      <c r="E23" s="26">
        <f t="shared" si="19"/>
        <v>17</v>
      </c>
      <c r="F23" s="1830">
        <f t="shared" ref="F23:F27" si="22">(E23/$E$28)*100</f>
        <v>36.170212765957451</v>
      </c>
      <c r="G23" s="26">
        <f t="shared" ref="G23:G27" si="23">SUM(V23:Z23)</f>
        <v>34</v>
      </c>
      <c r="H23" s="1832">
        <f t="shared" ref="H23:H27" si="24">(G23/$G$28)*100</f>
        <v>20</v>
      </c>
      <c r="I23" s="26">
        <v>36</v>
      </c>
      <c r="J23" s="1832">
        <f t="shared" ref="J23:J27" si="25">(I23/$I$28)*100</f>
        <v>21.686746987951807</v>
      </c>
      <c r="K23" s="1833">
        <f t="shared" ref="K23:K27" si="26">(D23+F23+H23+J23)/4</f>
        <v>28.506793129966677</v>
      </c>
      <c r="L23" s="1778">
        <v>14</v>
      </c>
      <c r="M23" s="1778">
        <v>3</v>
      </c>
      <c r="N23" s="1778">
        <v>0</v>
      </c>
      <c r="O23" s="1778">
        <v>0</v>
      </c>
      <c r="Q23" s="1778">
        <v>15</v>
      </c>
      <c r="R23" s="1778">
        <v>2</v>
      </c>
      <c r="S23" s="1778">
        <v>0</v>
      </c>
      <c r="T23" s="1778">
        <v>0</v>
      </c>
      <c r="V23" s="1778">
        <v>34</v>
      </c>
    </row>
    <row r="24" spans="1:26">
      <c r="A24" s="26"/>
      <c r="B24" s="26" t="s">
        <v>1104</v>
      </c>
      <c r="C24" s="26">
        <f t="shared" si="20"/>
        <v>12</v>
      </c>
      <c r="D24" s="1830">
        <f t="shared" si="21"/>
        <v>25.531914893617021</v>
      </c>
      <c r="E24" s="26">
        <f t="shared" si="19"/>
        <v>11</v>
      </c>
      <c r="F24" s="1830">
        <f t="shared" si="22"/>
        <v>23.404255319148938</v>
      </c>
      <c r="G24" s="26">
        <f t="shared" si="23"/>
        <v>57</v>
      </c>
      <c r="H24" s="1832">
        <f t="shared" si="24"/>
        <v>33.529411764705877</v>
      </c>
      <c r="I24" s="26">
        <v>45</v>
      </c>
      <c r="J24" s="1832">
        <f t="shared" si="25"/>
        <v>27.108433734939759</v>
      </c>
      <c r="K24" s="1833">
        <f t="shared" si="26"/>
        <v>27.393503928102895</v>
      </c>
      <c r="L24" s="1778">
        <v>6</v>
      </c>
      <c r="M24" s="1778">
        <v>6</v>
      </c>
      <c r="N24" s="1778">
        <v>0</v>
      </c>
      <c r="O24" s="1778">
        <v>0</v>
      </c>
      <c r="Q24" s="1778">
        <v>3</v>
      </c>
      <c r="R24" s="1778">
        <v>8</v>
      </c>
      <c r="S24" s="1778">
        <v>0</v>
      </c>
      <c r="T24" s="1778">
        <v>0</v>
      </c>
      <c r="V24" s="1778">
        <v>57</v>
      </c>
    </row>
    <row r="25" spans="1:26">
      <c r="A25" s="26"/>
      <c r="B25" s="26" t="s">
        <v>1105</v>
      </c>
      <c r="C25" s="26">
        <f t="shared" si="20"/>
        <v>3</v>
      </c>
      <c r="D25" s="1830">
        <f t="shared" si="21"/>
        <v>6.3829787234042552</v>
      </c>
      <c r="E25" s="26">
        <f t="shared" si="19"/>
        <v>3</v>
      </c>
      <c r="F25" s="1830">
        <f t="shared" si="22"/>
        <v>6.3829787234042552</v>
      </c>
      <c r="G25" s="26">
        <f t="shared" si="23"/>
        <v>40</v>
      </c>
      <c r="H25" s="1832">
        <f t="shared" si="24"/>
        <v>23.52941176470588</v>
      </c>
      <c r="I25" s="26">
        <v>44</v>
      </c>
      <c r="J25" s="1832">
        <f t="shared" si="25"/>
        <v>26.506024096385545</v>
      </c>
      <c r="K25" s="1833">
        <f t="shared" si="26"/>
        <v>15.700348326974984</v>
      </c>
      <c r="L25" s="1778">
        <v>2</v>
      </c>
      <c r="M25" s="1778">
        <v>1</v>
      </c>
      <c r="N25" s="1778">
        <v>0</v>
      </c>
      <c r="O25" s="1778">
        <v>0</v>
      </c>
      <c r="Q25" s="1778">
        <v>3</v>
      </c>
      <c r="R25" s="1778">
        <v>0</v>
      </c>
      <c r="S25" s="1778">
        <v>0</v>
      </c>
      <c r="T25" s="1778">
        <v>0</v>
      </c>
      <c r="V25" s="1778">
        <v>40</v>
      </c>
    </row>
    <row r="26" spans="1:26">
      <c r="A26" s="26"/>
      <c r="B26" s="26" t="s">
        <v>1106</v>
      </c>
      <c r="C26" s="26">
        <f t="shared" si="20"/>
        <v>3</v>
      </c>
      <c r="D26" s="1830">
        <f t="shared" si="21"/>
        <v>6.3829787234042552</v>
      </c>
      <c r="E26" s="26">
        <f t="shared" si="19"/>
        <v>3</v>
      </c>
      <c r="F26" s="1830">
        <f t="shared" si="22"/>
        <v>6.3829787234042552</v>
      </c>
      <c r="G26" s="26">
        <f t="shared" si="23"/>
        <v>10</v>
      </c>
      <c r="H26" s="1832">
        <f t="shared" si="24"/>
        <v>5.8823529411764701</v>
      </c>
      <c r="I26" s="26">
        <v>10</v>
      </c>
      <c r="J26" s="1832">
        <f t="shared" si="25"/>
        <v>6.024096385542169</v>
      </c>
      <c r="K26" s="1833">
        <f t="shared" si="26"/>
        <v>6.1681016933817876</v>
      </c>
      <c r="L26" s="1778">
        <v>2</v>
      </c>
      <c r="M26" s="1778">
        <v>1</v>
      </c>
      <c r="N26" s="1778">
        <v>0</v>
      </c>
      <c r="O26" s="1778">
        <v>0</v>
      </c>
      <c r="Q26" s="1778">
        <v>2</v>
      </c>
      <c r="R26" s="1778">
        <v>1</v>
      </c>
      <c r="S26" s="1778">
        <v>0</v>
      </c>
      <c r="T26" s="1778">
        <v>0</v>
      </c>
      <c r="V26" s="1778">
        <v>10</v>
      </c>
    </row>
    <row r="27" spans="1:26">
      <c r="A27" s="26"/>
      <c r="B27" s="26" t="s">
        <v>1107</v>
      </c>
      <c r="C27" s="26">
        <f t="shared" si="20"/>
        <v>2</v>
      </c>
      <c r="D27" s="1830">
        <f t="shared" si="21"/>
        <v>4.2553191489361701</v>
      </c>
      <c r="E27" s="26">
        <f t="shared" si="19"/>
        <v>2</v>
      </c>
      <c r="F27" s="1830">
        <f t="shared" si="22"/>
        <v>4.2553191489361701</v>
      </c>
      <c r="G27" s="26">
        <f t="shared" si="23"/>
        <v>12</v>
      </c>
      <c r="H27" s="1832">
        <f t="shared" si="24"/>
        <v>7.0588235294117645</v>
      </c>
      <c r="I27" s="26">
        <v>12</v>
      </c>
      <c r="J27" s="1832">
        <f t="shared" si="25"/>
        <v>7.2289156626506017</v>
      </c>
      <c r="K27" s="1833">
        <f t="shared" si="26"/>
        <v>5.6995943724836771</v>
      </c>
      <c r="L27" s="1778">
        <v>1</v>
      </c>
      <c r="M27" s="1778">
        <v>1</v>
      </c>
      <c r="N27" s="1778">
        <v>0</v>
      </c>
      <c r="O27" s="1778">
        <v>0</v>
      </c>
      <c r="Q27" s="1778">
        <v>1</v>
      </c>
      <c r="R27" s="1778">
        <v>1</v>
      </c>
      <c r="S27" s="1778">
        <v>0</v>
      </c>
      <c r="T27" s="1778">
        <v>0</v>
      </c>
      <c r="V27" s="1778">
        <v>12</v>
      </c>
    </row>
    <row r="28" spans="1:26" s="1776" customFormat="1">
      <c r="A28" s="151"/>
      <c r="B28" s="151" t="s">
        <v>645</v>
      </c>
      <c r="C28" s="151">
        <f>SUM(C22:C27)</f>
        <v>47</v>
      </c>
      <c r="D28" s="1832">
        <f t="shared" ref="D28:Z28" si="27">SUM(D22:D27)</f>
        <v>100</v>
      </c>
      <c r="E28" s="151">
        <f t="shared" si="27"/>
        <v>47</v>
      </c>
      <c r="F28" s="1832">
        <f t="shared" si="27"/>
        <v>100</v>
      </c>
      <c r="G28" s="151">
        <f t="shared" si="27"/>
        <v>170</v>
      </c>
      <c r="H28" s="1832">
        <f t="shared" si="27"/>
        <v>99.999999999999986</v>
      </c>
      <c r="I28" s="151">
        <f t="shared" si="27"/>
        <v>166</v>
      </c>
      <c r="J28" s="1832">
        <f t="shared" si="27"/>
        <v>100</v>
      </c>
      <c r="K28" s="1833"/>
      <c r="L28" s="1838">
        <f t="shared" si="27"/>
        <v>34</v>
      </c>
      <c r="M28" s="1838">
        <f t="shared" si="27"/>
        <v>13</v>
      </c>
      <c r="N28" s="1838">
        <f t="shared" si="27"/>
        <v>0</v>
      </c>
      <c r="O28" s="1838">
        <f t="shared" si="27"/>
        <v>0</v>
      </c>
      <c r="P28" s="1838">
        <f t="shared" si="27"/>
        <v>0</v>
      </c>
      <c r="Q28" s="1838">
        <f t="shared" si="27"/>
        <v>34</v>
      </c>
      <c r="R28" s="1838">
        <f t="shared" si="27"/>
        <v>13</v>
      </c>
      <c r="S28" s="1838">
        <f t="shared" si="27"/>
        <v>0</v>
      </c>
      <c r="T28" s="1838">
        <f t="shared" si="27"/>
        <v>0</v>
      </c>
      <c r="U28" s="1838">
        <f t="shared" si="27"/>
        <v>0</v>
      </c>
      <c r="V28" s="1838">
        <f t="shared" si="27"/>
        <v>170</v>
      </c>
      <c r="W28" s="1838">
        <f t="shared" si="27"/>
        <v>0</v>
      </c>
      <c r="X28" s="1838">
        <f t="shared" si="27"/>
        <v>0</v>
      </c>
      <c r="Y28" s="1838">
        <f t="shared" si="27"/>
        <v>0</v>
      </c>
      <c r="Z28" s="1838">
        <f t="shared" si="27"/>
        <v>0</v>
      </c>
    </row>
    <row r="29" spans="1:26">
      <c r="A29" s="26"/>
      <c r="B29" s="26"/>
      <c r="C29" s="26"/>
      <c r="D29" s="1835"/>
      <c r="E29" s="26"/>
      <c r="F29" s="1835"/>
      <c r="G29" s="26"/>
      <c r="H29" s="1835"/>
      <c r="I29" s="26"/>
      <c r="J29" s="1835"/>
      <c r="K29" s="1836"/>
      <c r="L29" s="1778" t="s">
        <v>1092</v>
      </c>
      <c r="Q29" s="1778" t="s">
        <v>1093</v>
      </c>
      <c r="V29" s="1778" t="s">
        <v>1094</v>
      </c>
    </row>
    <row r="30" spans="1:26">
      <c r="A30" s="151" t="s">
        <v>1109</v>
      </c>
      <c r="B30" s="26"/>
      <c r="C30" s="1837">
        <v>44317</v>
      </c>
      <c r="D30" s="1824" t="s">
        <v>1091</v>
      </c>
      <c r="E30" s="1837">
        <v>44348</v>
      </c>
      <c r="F30" s="1824" t="s">
        <v>1091</v>
      </c>
      <c r="G30" s="1837">
        <v>44378</v>
      </c>
      <c r="H30" s="1824" t="s">
        <v>1091</v>
      </c>
      <c r="I30" s="1837">
        <v>44409</v>
      </c>
      <c r="J30" s="1824" t="s">
        <v>1091</v>
      </c>
      <c r="K30" s="1825"/>
      <c r="L30" s="1776" t="s">
        <v>1097</v>
      </c>
      <c r="M30" s="1776" t="s">
        <v>1098</v>
      </c>
      <c r="N30" s="1776" t="s">
        <v>1099</v>
      </c>
      <c r="O30" s="1776" t="s">
        <v>1100</v>
      </c>
      <c r="P30" s="1776" t="s">
        <v>1101</v>
      </c>
      <c r="Q30" s="1776" t="s">
        <v>1097</v>
      </c>
      <c r="R30" s="1776" t="s">
        <v>1098</v>
      </c>
      <c r="S30" s="1776" t="s">
        <v>1099</v>
      </c>
      <c r="T30" s="1776" t="s">
        <v>1100</v>
      </c>
      <c r="U30" s="1776" t="s">
        <v>1101</v>
      </c>
      <c r="V30" s="1776" t="s">
        <v>1097</v>
      </c>
      <c r="W30" s="1776" t="s">
        <v>1098</v>
      </c>
      <c r="X30" s="1776" t="s">
        <v>1099</v>
      </c>
      <c r="Y30" s="1776" t="s">
        <v>1100</v>
      </c>
      <c r="Z30" s="1776" t="s">
        <v>1101</v>
      </c>
    </row>
    <row r="31" spans="1:26">
      <c r="A31" s="26"/>
      <c r="B31" s="26" t="s">
        <v>1110</v>
      </c>
      <c r="C31" s="26">
        <v>92</v>
      </c>
      <c r="D31" s="1830">
        <f>(C31/$C$34)*100</f>
        <v>87.61904761904762</v>
      </c>
      <c r="E31" s="26">
        <v>82</v>
      </c>
      <c r="F31" s="1830">
        <f>(E31/$E$34)*100</f>
        <v>78.84615384615384</v>
      </c>
      <c r="G31" s="26">
        <v>108</v>
      </c>
      <c r="H31" s="1830">
        <f>(G31/$G$34)*100</f>
        <v>83.720930232558146</v>
      </c>
      <c r="I31" s="26">
        <v>109</v>
      </c>
      <c r="J31" s="1830">
        <f>(I31/$I$34)*100</f>
        <v>87.2</v>
      </c>
      <c r="K31" s="1831">
        <f>(D31+F31+H31+J31)/4</f>
        <v>84.346532924439899</v>
      </c>
      <c r="L31" s="1778">
        <v>11</v>
      </c>
      <c r="M31" s="1778">
        <v>7</v>
      </c>
      <c r="N31" s="1778">
        <v>3</v>
      </c>
      <c r="O31" s="1778">
        <v>5</v>
      </c>
      <c r="Q31" s="1778">
        <v>7</v>
      </c>
      <c r="R31" s="1778">
        <v>3</v>
      </c>
      <c r="S31" s="1778">
        <v>3</v>
      </c>
      <c r="T31" s="1778">
        <v>4</v>
      </c>
    </row>
    <row r="32" spans="1:26">
      <c r="A32" s="26"/>
      <c r="B32" s="26" t="s">
        <v>1111</v>
      </c>
      <c r="C32" s="26">
        <v>7</v>
      </c>
      <c r="D32" s="1830">
        <f>(C32/$C$34)*100</f>
        <v>6.666666666666667</v>
      </c>
      <c r="E32" s="26">
        <v>11</v>
      </c>
      <c r="F32" s="1830">
        <f>(E32/$E$34)*100</f>
        <v>10.576923076923077</v>
      </c>
      <c r="G32" s="26">
        <v>12</v>
      </c>
      <c r="H32" s="1830">
        <f>(G32/$G$34)*100</f>
        <v>9.3023255813953494</v>
      </c>
      <c r="I32" s="26">
        <v>10</v>
      </c>
      <c r="J32" s="1830">
        <f>(I32/$I$34)*100</f>
        <v>8</v>
      </c>
      <c r="K32" s="1831">
        <f t="shared" ref="K32:K33" si="28">(D32+F32+H32+J32)/4</f>
        <v>8.6364788312462739</v>
      </c>
      <c r="L32" s="1778">
        <v>15</v>
      </c>
      <c r="M32" s="1778">
        <v>11</v>
      </c>
      <c r="N32" s="1778">
        <v>3</v>
      </c>
      <c r="O32" s="1778">
        <v>7</v>
      </c>
      <c r="Q32" s="1778">
        <v>13</v>
      </c>
      <c r="R32" s="1778">
        <v>6</v>
      </c>
      <c r="S32" s="1778">
        <v>3</v>
      </c>
      <c r="T32" s="1778">
        <v>8</v>
      </c>
    </row>
    <row r="33" spans="1:26">
      <c r="A33" s="26"/>
      <c r="B33" s="26" t="s">
        <v>15</v>
      </c>
      <c r="C33" s="26">
        <v>6</v>
      </c>
      <c r="D33" s="1830">
        <f>(C33/$C$34)*100</f>
        <v>5.7142857142857144</v>
      </c>
      <c r="E33" s="26">
        <v>11</v>
      </c>
      <c r="F33" s="1830">
        <f>(E33/$E$34)*100</f>
        <v>10.576923076923077</v>
      </c>
      <c r="G33" s="26">
        <v>9</v>
      </c>
      <c r="H33" s="1830">
        <f>(G33/$G$34)*100</f>
        <v>6.9767441860465116</v>
      </c>
      <c r="I33" s="26">
        <v>6</v>
      </c>
      <c r="J33" s="1830">
        <f>(I33/$I$34)*100</f>
        <v>4.8</v>
      </c>
      <c r="K33" s="1831">
        <f t="shared" si="28"/>
        <v>7.0169882443138265</v>
      </c>
      <c r="L33" s="1778">
        <v>5</v>
      </c>
      <c r="M33" s="1778">
        <v>10</v>
      </c>
      <c r="N33" s="1778">
        <v>1</v>
      </c>
      <c r="O33" s="1778">
        <v>2</v>
      </c>
      <c r="Q33" s="1778">
        <v>7</v>
      </c>
      <c r="R33" s="1778">
        <v>7</v>
      </c>
      <c r="S33" s="1778">
        <v>0</v>
      </c>
      <c r="T33" s="1778">
        <v>0</v>
      </c>
    </row>
    <row r="34" spans="1:26" s="1776" customFormat="1">
      <c r="A34" s="151"/>
      <c r="B34" s="151" t="s">
        <v>645</v>
      </c>
      <c r="C34" s="151">
        <f t="shared" ref="C34:Z34" si="29">SUM(C31:C33)</f>
        <v>105</v>
      </c>
      <c r="D34" s="1832">
        <f t="shared" si="29"/>
        <v>100</v>
      </c>
      <c r="E34" s="151">
        <f t="shared" si="29"/>
        <v>104</v>
      </c>
      <c r="F34" s="1832">
        <f t="shared" si="29"/>
        <v>100</v>
      </c>
      <c r="G34" s="151">
        <f t="shared" si="29"/>
        <v>129</v>
      </c>
      <c r="H34" s="1835">
        <f t="shared" si="29"/>
        <v>100.00000000000001</v>
      </c>
      <c r="I34" s="1839">
        <f t="shared" si="29"/>
        <v>125</v>
      </c>
      <c r="J34" s="1835">
        <f t="shared" si="29"/>
        <v>100</v>
      </c>
      <c r="K34" s="1836"/>
      <c r="L34" s="1834">
        <f t="shared" si="29"/>
        <v>31</v>
      </c>
      <c r="M34" s="1834">
        <f t="shared" si="29"/>
        <v>28</v>
      </c>
      <c r="N34" s="1834">
        <f t="shared" si="29"/>
        <v>7</v>
      </c>
      <c r="O34" s="1834">
        <f t="shared" si="29"/>
        <v>14</v>
      </c>
      <c r="P34" s="1834">
        <f t="shared" si="29"/>
        <v>0</v>
      </c>
      <c r="Q34" s="1834">
        <f t="shared" si="29"/>
        <v>27</v>
      </c>
      <c r="R34" s="1834">
        <f t="shared" si="29"/>
        <v>16</v>
      </c>
      <c r="S34" s="1834">
        <f t="shared" si="29"/>
        <v>6</v>
      </c>
      <c r="T34" s="1834">
        <f t="shared" si="29"/>
        <v>12</v>
      </c>
      <c r="U34" s="1834">
        <f t="shared" si="29"/>
        <v>0</v>
      </c>
      <c r="V34" s="1834">
        <f t="shared" si="29"/>
        <v>0</v>
      </c>
      <c r="W34" s="1834">
        <f t="shared" si="29"/>
        <v>0</v>
      </c>
      <c r="X34" s="1834">
        <f t="shared" si="29"/>
        <v>0</v>
      </c>
      <c r="Y34" s="1834">
        <f t="shared" si="29"/>
        <v>0</v>
      </c>
      <c r="Z34" s="1834">
        <f t="shared" si="29"/>
        <v>0</v>
      </c>
    </row>
    <row r="35" spans="1:26">
      <c r="A35" s="26"/>
      <c r="B35" s="26"/>
      <c r="C35" s="26"/>
      <c r="D35" s="1835"/>
      <c r="E35" s="26"/>
      <c r="F35" s="1835"/>
      <c r="G35" s="26"/>
      <c r="H35" s="1835"/>
      <c r="I35" s="26"/>
      <c r="J35" s="1835"/>
      <c r="K35" s="1836"/>
      <c r="L35" s="1778" t="s">
        <v>1092</v>
      </c>
      <c r="Q35" s="1778" t="s">
        <v>1093</v>
      </c>
      <c r="V35" s="1778" t="s">
        <v>1094</v>
      </c>
    </row>
    <row r="36" spans="1:26">
      <c r="A36" s="151" t="s">
        <v>955</v>
      </c>
      <c r="B36" s="151" t="s">
        <v>1095</v>
      </c>
      <c r="C36" s="1837">
        <v>44317</v>
      </c>
      <c r="D36" s="1824" t="s">
        <v>1091</v>
      </c>
      <c r="E36" s="1837">
        <v>44348</v>
      </c>
      <c r="F36" s="1824" t="s">
        <v>1091</v>
      </c>
      <c r="G36" s="1837">
        <v>44378</v>
      </c>
      <c r="H36" s="1824" t="s">
        <v>1091</v>
      </c>
      <c r="I36" s="1837">
        <v>44409</v>
      </c>
      <c r="J36" s="1824" t="s">
        <v>1091</v>
      </c>
      <c r="K36" s="1825"/>
      <c r="L36" s="1776" t="s">
        <v>1097</v>
      </c>
      <c r="M36" s="1776" t="s">
        <v>1098</v>
      </c>
      <c r="N36" s="1776" t="s">
        <v>1099</v>
      </c>
      <c r="O36" s="1776" t="s">
        <v>1100</v>
      </c>
      <c r="P36" s="1776" t="s">
        <v>1101</v>
      </c>
      <c r="Q36" s="1776" t="s">
        <v>1097</v>
      </c>
      <c r="R36" s="1776" t="s">
        <v>1098</v>
      </c>
      <c r="S36" s="1776" t="s">
        <v>1099</v>
      </c>
      <c r="T36" s="1776" t="s">
        <v>1100</v>
      </c>
      <c r="U36" s="1776" t="s">
        <v>1101</v>
      </c>
      <c r="V36" s="1776" t="s">
        <v>1097</v>
      </c>
      <c r="W36" s="1776" t="s">
        <v>1098</v>
      </c>
      <c r="X36" s="1776" t="s">
        <v>1099</v>
      </c>
      <c r="Y36" s="1776" t="s">
        <v>1100</v>
      </c>
      <c r="Z36" s="1776" t="s">
        <v>1101</v>
      </c>
    </row>
    <row r="37" spans="1:26">
      <c r="A37" s="26"/>
      <c r="B37" s="26" t="s">
        <v>1102</v>
      </c>
      <c r="C37" s="26">
        <f>SUM(L37:P37)</f>
        <v>24</v>
      </c>
      <c r="D37" s="1830">
        <f>(C37/$C$43)*100</f>
        <v>24.742268041237114</v>
      </c>
      <c r="E37" s="26">
        <f t="shared" ref="E37:E42" si="30">SUM(Q37:U37)</f>
        <v>23</v>
      </c>
      <c r="F37" s="1830">
        <f>(E37/$E$43)*100</f>
        <v>23.711340206185564</v>
      </c>
      <c r="G37" s="26">
        <f>SUM(V37:Z37)</f>
        <v>9</v>
      </c>
      <c r="H37" s="1830">
        <f>(G37/$G$43)*100</f>
        <v>10.843373493975903</v>
      </c>
      <c r="I37" s="26">
        <v>16</v>
      </c>
      <c r="J37" s="1830">
        <f>(I37/$I$43)*100</f>
        <v>20.253164556962027</v>
      </c>
      <c r="K37" s="1831">
        <f>(D37+F37+H37+J37)/4</f>
        <v>19.88753657459015</v>
      </c>
      <c r="L37" s="1778">
        <v>15</v>
      </c>
      <c r="M37" s="1778">
        <v>7</v>
      </c>
      <c r="N37" s="1778">
        <v>0</v>
      </c>
      <c r="O37" s="1778">
        <v>2</v>
      </c>
      <c r="Q37" s="1778">
        <v>15</v>
      </c>
      <c r="R37" s="1778">
        <v>6</v>
      </c>
      <c r="S37" s="1778">
        <v>0</v>
      </c>
      <c r="T37" s="1778">
        <v>2</v>
      </c>
      <c r="V37" s="1778">
        <v>9</v>
      </c>
    </row>
    <row r="38" spans="1:26">
      <c r="A38" s="26"/>
      <c r="B38" s="26" t="s">
        <v>1103</v>
      </c>
      <c r="C38" s="26">
        <f t="shared" ref="C38:C42" si="31">SUM(L38:P38)</f>
        <v>42</v>
      </c>
      <c r="D38" s="1830">
        <f t="shared" ref="D38:D42" si="32">(C38/$C$43)*100</f>
        <v>43.298969072164951</v>
      </c>
      <c r="E38" s="26">
        <f t="shared" si="30"/>
        <v>35</v>
      </c>
      <c r="F38" s="1830">
        <f t="shared" ref="F38:F42" si="33">(E38/$E$43)*100</f>
        <v>36.082474226804123</v>
      </c>
      <c r="G38" s="26">
        <f t="shared" ref="G38:G42" si="34">SUM(V38:Z38)</f>
        <v>35</v>
      </c>
      <c r="H38" s="1830">
        <f t="shared" ref="H38:H42" si="35">(G38/$G$43)*100</f>
        <v>42.168674698795186</v>
      </c>
      <c r="I38" s="26">
        <v>19</v>
      </c>
      <c r="J38" s="1830">
        <f t="shared" ref="J38:J42" si="36">(I38/$I$43)*100</f>
        <v>24.050632911392405</v>
      </c>
      <c r="K38" s="1831">
        <f t="shared" ref="K38:K42" si="37">(D38+F38+H38+J38)/4</f>
        <v>36.400187727289165</v>
      </c>
      <c r="L38" s="1778">
        <v>21</v>
      </c>
      <c r="M38" s="1778">
        <v>18</v>
      </c>
      <c r="N38" s="1778">
        <v>1</v>
      </c>
      <c r="O38" s="1778">
        <v>2</v>
      </c>
      <c r="Q38" s="1778">
        <v>16</v>
      </c>
      <c r="R38" s="1778">
        <v>16</v>
      </c>
      <c r="S38" s="1778">
        <v>0</v>
      </c>
      <c r="T38" s="1778">
        <v>3</v>
      </c>
      <c r="V38" s="1778">
        <v>35</v>
      </c>
    </row>
    <row r="39" spans="1:26">
      <c r="A39" s="26"/>
      <c r="B39" s="26" t="s">
        <v>1104</v>
      </c>
      <c r="C39" s="26">
        <f t="shared" si="31"/>
        <v>17</v>
      </c>
      <c r="D39" s="1830">
        <f t="shared" si="32"/>
        <v>17.525773195876287</v>
      </c>
      <c r="E39" s="26">
        <f t="shared" si="30"/>
        <v>19</v>
      </c>
      <c r="F39" s="1830">
        <f t="shared" si="33"/>
        <v>19.587628865979383</v>
      </c>
      <c r="G39" s="26">
        <f t="shared" si="34"/>
        <v>19</v>
      </c>
      <c r="H39" s="1830">
        <f t="shared" si="35"/>
        <v>22.891566265060241</v>
      </c>
      <c r="I39" s="26">
        <v>24</v>
      </c>
      <c r="J39" s="1830">
        <f t="shared" si="36"/>
        <v>30.37974683544304</v>
      </c>
      <c r="K39" s="1831">
        <f t="shared" si="37"/>
        <v>22.596178790589736</v>
      </c>
      <c r="L39" s="1778">
        <v>12</v>
      </c>
      <c r="M39" s="1778">
        <v>5</v>
      </c>
      <c r="N39" s="1778">
        <v>0</v>
      </c>
      <c r="O39" s="1778">
        <v>0</v>
      </c>
      <c r="Q39" s="1778">
        <v>9</v>
      </c>
      <c r="R39" s="1778">
        <v>9</v>
      </c>
      <c r="S39" s="1778">
        <v>1</v>
      </c>
      <c r="T39" s="1778">
        <v>0</v>
      </c>
      <c r="V39" s="1778">
        <v>19</v>
      </c>
    </row>
    <row r="40" spans="1:26">
      <c r="A40" s="26"/>
      <c r="B40" s="26" t="s">
        <v>1105</v>
      </c>
      <c r="C40" s="26">
        <f t="shared" si="31"/>
        <v>12</v>
      </c>
      <c r="D40" s="1830">
        <f t="shared" si="32"/>
        <v>12.371134020618557</v>
      </c>
      <c r="E40" s="26">
        <f t="shared" si="30"/>
        <v>18</v>
      </c>
      <c r="F40" s="1830">
        <f t="shared" si="33"/>
        <v>18.556701030927837</v>
      </c>
      <c r="G40" s="26">
        <f t="shared" si="34"/>
        <v>15</v>
      </c>
      <c r="H40" s="1830">
        <f t="shared" si="35"/>
        <v>18.072289156626507</v>
      </c>
      <c r="I40" s="26">
        <v>13</v>
      </c>
      <c r="J40" s="1830">
        <f t="shared" si="36"/>
        <v>16.455696202531644</v>
      </c>
      <c r="K40" s="1831">
        <f t="shared" si="37"/>
        <v>16.363955102676137</v>
      </c>
      <c r="L40" s="1778">
        <v>6</v>
      </c>
      <c r="M40" s="1778">
        <v>4</v>
      </c>
      <c r="N40" s="1778">
        <v>1</v>
      </c>
      <c r="O40" s="1778">
        <v>1</v>
      </c>
      <c r="Q40" s="1778">
        <v>14</v>
      </c>
      <c r="R40" s="1778">
        <v>3</v>
      </c>
      <c r="S40" s="1778">
        <v>1</v>
      </c>
      <c r="T40" s="1778">
        <v>0</v>
      </c>
      <c r="V40" s="1778">
        <v>15</v>
      </c>
    </row>
    <row r="41" spans="1:26">
      <c r="A41" s="26"/>
      <c r="B41" s="26" t="s">
        <v>1106</v>
      </c>
      <c r="C41" s="26">
        <f t="shared" si="31"/>
        <v>1</v>
      </c>
      <c r="D41" s="1830">
        <f t="shared" si="32"/>
        <v>1.0309278350515463</v>
      </c>
      <c r="E41" s="26">
        <f t="shared" si="30"/>
        <v>1</v>
      </c>
      <c r="F41" s="1830">
        <f t="shared" si="33"/>
        <v>1.0309278350515463</v>
      </c>
      <c r="G41" s="26">
        <f t="shared" si="34"/>
        <v>4</v>
      </c>
      <c r="H41" s="1830">
        <f t="shared" si="35"/>
        <v>4.8192771084337354</v>
      </c>
      <c r="I41" s="26">
        <v>6</v>
      </c>
      <c r="J41" s="1830">
        <f t="shared" si="36"/>
        <v>7.59493670886076</v>
      </c>
      <c r="K41" s="1831">
        <f t="shared" si="37"/>
        <v>3.619017371849397</v>
      </c>
      <c r="L41" s="1778">
        <v>0</v>
      </c>
      <c r="M41" s="1778">
        <v>1</v>
      </c>
      <c r="N41" s="1778">
        <v>0</v>
      </c>
      <c r="O41" s="1778">
        <v>0</v>
      </c>
      <c r="Q41" s="1778">
        <v>0</v>
      </c>
      <c r="R41" s="1778">
        <v>1</v>
      </c>
      <c r="S41" s="1778">
        <v>0</v>
      </c>
      <c r="T41" s="1778">
        <v>0</v>
      </c>
      <c r="V41" s="1778">
        <v>4</v>
      </c>
    </row>
    <row r="42" spans="1:26">
      <c r="A42" s="26"/>
      <c r="B42" s="26" t="s">
        <v>1107</v>
      </c>
      <c r="C42" s="26">
        <f t="shared" si="31"/>
        <v>1</v>
      </c>
      <c r="D42" s="1830">
        <f t="shared" si="32"/>
        <v>1.0309278350515463</v>
      </c>
      <c r="E42" s="26">
        <f t="shared" si="30"/>
        <v>1</v>
      </c>
      <c r="F42" s="1830">
        <f t="shared" si="33"/>
        <v>1.0309278350515463</v>
      </c>
      <c r="G42" s="26">
        <f t="shared" si="34"/>
        <v>1</v>
      </c>
      <c r="H42" s="1830">
        <f t="shared" si="35"/>
        <v>1.2048192771084338</v>
      </c>
      <c r="I42" s="26">
        <v>1</v>
      </c>
      <c r="J42" s="1830">
        <f t="shared" si="36"/>
        <v>1.2658227848101267</v>
      </c>
      <c r="K42" s="1831">
        <f t="shared" si="37"/>
        <v>1.1331244330054133</v>
      </c>
      <c r="L42" s="1778">
        <v>0</v>
      </c>
      <c r="M42" s="1778">
        <v>1</v>
      </c>
      <c r="N42" s="1778">
        <v>0</v>
      </c>
      <c r="O42" s="1778">
        <v>0</v>
      </c>
      <c r="Q42" s="1778">
        <v>0</v>
      </c>
      <c r="R42" s="1778">
        <v>1</v>
      </c>
      <c r="S42" s="1778">
        <v>0</v>
      </c>
      <c r="T42" s="1778">
        <v>0</v>
      </c>
      <c r="V42" s="1778">
        <v>1</v>
      </c>
    </row>
    <row r="43" spans="1:26" s="1776" customFormat="1">
      <c r="A43" s="151"/>
      <c r="B43" s="151" t="s">
        <v>645</v>
      </c>
      <c r="C43" s="151">
        <f>SUM(C37:C42)</f>
        <v>97</v>
      </c>
      <c r="D43" s="1832">
        <f t="shared" ref="D43:Z43" si="38">SUM(D37:D42)</f>
        <v>99.999999999999986</v>
      </c>
      <c r="E43" s="151">
        <f t="shared" si="38"/>
        <v>97</v>
      </c>
      <c r="F43" s="1832">
        <f t="shared" si="38"/>
        <v>100</v>
      </c>
      <c r="G43" s="151">
        <f t="shared" si="38"/>
        <v>83</v>
      </c>
      <c r="H43" s="1832">
        <f t="shared" si="38"/>
        <v>100.00000000000001</v>
      </c>
      <c r="I43" s="1840">
        <f t="shared" si="38"/>
        <v>79</v>
      </c>
      <c r="J43" s="1832">
        <f t="shared" si="38"/>
        <v>100</v>
      </c>
      <c r="K43" s="1833"/>
      <c r="L43" s="1838">
        <f t="shared" si="38"/>
        <v>54</v>
      </c>
      <c r="M43" s="1838">
        <f t="shared" si="38"/>
        <v>36</v>
      </c>
      <c r="N43" s="1838">
        <f t="shared" si="38"/>
        <v>2</v>
      </c>
      <c r="O43" s="1838">
        <f t="shared" si="38"/>
        <v>5</v>
      </c>
      <c r="P43" s="1838">
        <f t="shared" si="38"/>
        <v>0</v>
      </c>
      <c r="Q43" s="1838">
        <f t="shared" si="38"/>
        <v>54</v>
      </c>
      <c r="R43" s="1838">
        <f t="shared" si="38"/>
        <v>36</v>
      </c>
      <c r="S43" s="1838">
        <f t="shared" si="38"/>
        <v>2</v>
      </c>
      <c r="T43" s="1838">
        <f t="shared" si="38"/>
        <v>5</v>
      </c>
      <c r="U43" s="1838">
        <f t="shared" si="38"/>
        <v>0</v>
      </c>
      <c r="V43" s="1838">
        <f t="shared" si="38"/>
        <v>83</v>
      </c>
      <c r="W43" s="1838">
        <f t="shared" si="38"/>
        <v>0</v>
      </c>
      <c r="X43" s="1838">
        <f t="shared" si="38"/>
        <v>0</v>
      </c>
      <c r="Y43" s="1838">
        <f t="shared" si="38"/>
        <v>0</v>
      </c>
      <c r="Z43" s="1838">
        <f t="shared" si="38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17"/>
  <sheetViews>
    <sheetView tabSelected="1" zoomScale="91" zoomScaleNormal="91" workbookViewId="0">
      <pane xSplit="2" ySplit="3" topLeftCell="I4" activePane="bottomRight" state="frozen"/>
      <selection pane="topRight" activeCell="C1" sqref="C1"/>
      <selection pane="bottomLeft" activeCell="A4" sqref="A4"/>
      <selection pane="bottomRight" activeCell="R36" sqref="R36"/>
    </sheetView>
  </sheetViews>
  <sheetFormatPr defaultColWidth="8.85546875" defaultRowHeight="15"/>
  <cols>
    <col min="1" max="1" width="20.42578125" style="149" customWidth="1"/>
    <col min="2" max="2" width="39.28515625" style="149" customWidth="1"/>
    <col min="3" max="3" width="19.42578125" style="149" hidden="1" customWidth="1"/>
    <col min="4" max="4" width="15.7109375" style="149" hidden="1" customWidth="1"/>
    <col min="5" max="5" width="16.7109375" style="298" hidden="1" customWidth="1"/>
    <col min="6" max="6" width="15.7109375" style="149" hidden="1" customWidth="1"/>
    <col min="7" max="7" width="16.7109375" style="298" hidden="1" customWidth="1"/>
    <col min="8" max="8" width="15.7109375" style="149" hidden="1" customWidth="1"/>
    <col min="9" max="9" width="16.42578125" style="1457" customWidth="1"/>
    <col min="10" max="10" width="15.7109375" style="149" customWidth="1"/>
    <col min="11" max="11" width="16.7109375" style="149" customWidth="1"/>
    <col min="12" max="12" width="15.7109375" style="149" customWidth="1"/>
    <col min="13" max="13" width="17.28515625" style="1454" customWidth="1"/>
    <col min="14" max="14" width="15.7109375" style="149" customWidth="1"/>
    <col min="15" max="15" width="16.5703125" style="149" customWidth="1"/>
    <col min="16" max="16" width="14.140625" style="149" customWidth="1"/>
    <col min="17" max="17" width="16.85546875" style="149" customWidth="1"/>
    <col min="18" max="18" width="15.7109375" style="149" customWidth="1"/>
    <col min="19" max="19" width="15.85546875" style="149" customWidth="1"/>
    <col min="20" max="20" width="15.7109375" style="149" customWidth="1"/>
    <col min="21" max="21" width="24.42578125" style="149" customWidth="1"/>
    <col min="22" max="22" width="12.5703125" style="149" bestFit="1" customWidth="1"/>
    <col min="23" max="23" width="13.28515625" style="149" customWidth="1"/>
    <col min="24" max="24" width="12.5703125" style="149" customWidth="1"/>
    <col min="25" max="16384" width="8.85546875" style="149"/>
  </cols>
  <sheetData>
    <row r="1" spans="1:25">
      <c r="A1" s="381" t="s">
        <v>603</v>
      </c>
      <c r="B1" s="382"/>
    </row>
    <row r="2" spans="1:25" ht="15.75" thickBot="1">
      <c r="A2" s="381"/>
      <c r="B2" s="383"/>
    </row>
    <row r="3" spans="1:25" ht="45.75" customHeight="1">
      <c r="A3" s="384"/>
      <c r="B3" s="385"/>
      <c r="C3" s="386" t="s">
        <v>53</v>
      </c>
      <c r="D3" s="386" t="s">
        <v>54</v>
      </c>
      <c r="E3" s="387" t="s">
        <v>526</v>
      </c>
      <c r="F3" s="386" t="s">
        <v>76</v>
      </c>
      <c r="G3" s="387" t="s">
        <v>872</v>
      </c>
      <c r="H3" s="388" t="s">
        <v>77</v>
      </c>
      <c r="I3" s="1458" t="s">
        <v>871</v>
      </c>
      <c r="J3" s="388" t="s">
        <v>78</v>
      </c>
      <c r="K3" s="388" t="s">
        <v>883</v>
      </c>
      <c r="L3" s="388" t="s">
        <v>79</v>
      </c>
      <c r="M3" s="388" t="s">
        <v>884</v>
      </c>
      <c r="N3" s="388" t="s">
        <v>80</v>
      </c>
      <c r="O3" s="388" t="s">
        <v>885</v>
      </c>
      <c r="P3" s="388" t="s">
        <v>81</v>
      </c>
      <c r="Q3" s="386" t="s">
        <v>886</v>
      </c>
      <c r="R3" s="386" t="s">
        <v>82</v>
      </c>
      <c r="S3" s="389" t="s">
        <v>887</v>
      </c>
      <c r="T3" s="390" t="s">
        <v>594</v>
      </c>
      <c r="V3" s="391" t="s">
        <v>355</v>
      </c>
      <c r="W3" s="391" t="s">
        <v>353</v>
      </c>
      <c r="X3" s="391" t="s">
        <v>354</v>
      </c>
      <c r="Y3" s="391" t="s">
        <v>148</v>
      </c>
    </row>
    <row r="4" spans="1:25">
      <c r="A4" s="392" t="s">
        <v>49</v>
      </c>
      <c r="B4" s="393"/>
      <c r="C4" s="394"/>
      <c r="D4" s="394"/>
      <c r="E4" s="395"/>
      <c r="F4" s="394"/>
      <c r="G4" s="395"/>
      <c r="H4" s="394"/>
      <c r="I4" s="1459"/>
      <c r="J4" s="394"/>
      <c r="K4" s="394"/>
      <c r="L4" s="394"/>
      <c r="M4" s="396"/>
      <c r="N4" s="394"/>
      <c r="O4" s="394"/>
      <c r="P4" s="394"/>
      <c r="Q4" s="394"/>
      <c r="R4" s="394"/>
      <c r="S4" s="394"/>
      <c r="T4" s="397"/>
    </row>
    <row r="5" spans="1:25" s="1675" customFormat="1">
      <c r="A5" s="1669"/>
      <c r="B5" s="1670" t="s">
        <v>472</v>
      </c>
      <c r="C5" s="1671">
        <f>'Kakamega Financials'!B12</f>
        <v>37052568</v>
      </c>
      <c r="D5" s="1672">
        <f>C5/$C$83</f>
        <v>0.17790191862347854</v>
      </c>
      <c r="E5" s="1673">
        <f>'Kakamega Financials'!C12</f>
        <v>38243277</v>
      </c>
      <c r="F5" s="1672">
        <f>E5/$E$83</f>
        <v>0.15480462254273172</v>
      </c>
      <c r="G5" s="1674">
        <f>'Kakamega Financials'!D12</f>
        <v>33980708</v>
      </c>
      <c r="H5" s="1672">
        <f>G5/$G$83</f>
        <v>0.14698368431096134</v>
      </c>
      <c r="I5" s="1674">
        <f>'Kakamega Financials'!E12</f>
        <v>26905798</v>
      </c>
      <c r="J5" s="1672">
        <f>I5/$I$83</f>
        <v>9.2469879551776546E-2</v>
      </c>
      <c r="K5" s="1674">
        <f>I5*1.02</f>
        <v>27443913.960000001</v>
      </c>
      <c r="L5" s="1672">
        <f>K5/$K$83</f>
        <v>9.4983377337313879E-2</v>
      </c>
      <c r="M5" s="1674">
        <f>K5*1.02</f>
        <v>27992792.2392</v>
      </c>
      <c r="N5" s="1672">
        <f>M5/$M$83</f>
        <v>9.5488159442078946E-2</v>
      </c>
      <c r="O5" s="1674">
        <f>M5*1.02</f>
        <v>28552648.083983999</v>
      </c>
      <c r="P5" s="1672">
        <f>O5/$O$83</f>
        <v>9.5693833553737784E-2</v>
      </c>
      <c r="Q5" s="1674">
        <f>O5*1.02</f>
        <v>29123701.045663681</v>
      </c>
      <c r="R5" s="1672">
        <f>Q5/$Q$83</f>
        <v>9.5927102283707835E-2</v>
      </c>
      <c r="S5" s="1674">
        <f>Q5*1.02</f>
        <v>29706175.066576954</v>
      </c>
      <c r="T5" s="1672">
        <f>S5/$S$83</f>
        <v>9.6095715890546982E-2</v>
      </c>
      <c r="U5" s="1675" t="s">
        <v>1017</v>
      </c>
    </row>
    <row r="6" spans="1:25">
      <c r="A6" s="398"/>
      <c r="B6" s="393"/>
      <c r="C6" s="394"/>
      <c r="D6" s="394"/>
      <c r="E6" s="395"/>
      <c r="F6" s="394"/>
      <c r="G6" s="401"/>
      <c r="H6" s="394"/>
      <c r="I6" s="1460"/>
      <c r="J6" s="164"/>
      <c r="K6" s="394"/>
      <c r="L6" s="394"/>
      <c r="M6" s="396"/>
      <c r="N6" s="394"/>
      <c r="O6" s="394"/>
      <c r="P6" s="394"/>
      <c r="Q6" s="394"/>
      <c r="R6" s="394"/>
      <c r="S6" s="394"/>
      <c r="T6" s="397"/>
    </row>
    <row r="7" spans="1:25">
      <c r="A7" s="403"/>
      <c r="B7" s="404" t="s">
        <v>50</v>
      </c>
      <c r="C7" s="394"/>
      <c r="D7" s="394"/>
      <c r="E7" s="395"/>
      <c r="F7" s="394"/>
      <c r="G7" s="401"/>
      <c r="H7" s="394"/>
      <c r="I7" s="1531">
        <f>(I8/G8)-1</f>
        <v>9.5670322416427478E-2</v>
      </c>
      <c r="J7" s="394"/>
      <c r="K7" s="394">
        <f>(K8/I8)-1</f>
        <v>1.0000000000000009E-2</v>
      </c>
      <c r="L7" s="394"/>
      <c r="M7" s="396">
        <f>(M8/K8)-1</f>
        <v>1.0000000000000009E-2</v>
      </c>
      <c r="N7" s="394"/>
      <c r="O7" s="394">
        <f>(O8/M8)-1</f>
        <v>2.0000000000000018E-2</v>
      </c>
      <c r="P7" s="394"/>
      <c r="Q7" s="394">
        <f>(Q8/O8)-1</f>
        <v>2.0000000000000018E-2</v>
      </c>
      <c r="R7" s="394"/>
      <c r="S7" s="394"/>
      <c r="T7" s="397"/>
    </row>
    <row r="8" spans="1:25" s="294" customFormat="1">
      <c r="A8" s="1664"/>
      <c r="B8" s="1665" t="str">
        <f>'Kakamega Financials'!A15</f>
        <v>Basic Salary</v>
      </c>
      <c r="C8" s="1585">
        <f>'Kakamega Financials'!B15</f>
        <v>64095972</v>
      </c>
      <c r="D8" s="1666">
        <f>C8/$C$83</f>
        <v>0.30774645349377022</v>
      </c>
      <c r="E8" s="1577">
        <f>'Kakamega Financials'!C15</f>
        <v>76369400</v>
      </c>
      <c r="F8" s="1666">
        <f>E8/$E$83</f>
        <v>0.30913501844559232</v>
      </c>
      <c r="G8" s="1667">
        <f>'Kakamega Financials'!D15</f>
        <v>76805950</v>
      </c>
      <c r="H8" s="1666">
        <f>G8/$G$83</f>
        <v>0.3322244347587896</v>
      </c>
      <c r="I8" s="1667">
        <f>'Kakamega Financials'!E15</f>
        <v>84154000</v>
      </c>
      <c r="J8" s="1666">
        <f>I8/$I$83</f>
        <v>0.28922057036926402</v>
      </c>
      <c r="K8" s="1667">
        <f>I8*1.01</f>
        <v>84995540</v>
      </c>
      <c r="L8" s="1666">
        <f>K8/$K$83</f>
        <v>0.29416953644350935</v>
      </c>
      <c r="M8" s="1667">
        <f>K8*1.01</f>
        <v>85845495.400000006</v>
      </c>
      <c r="N8" s="1666">
        <f>M8/$M$83</f>
        <v>0.29283353665092332</v>
      </c>
      <c r="O8" s="1667">
        <f>M8*1.02</f>
        <v>87562405.308000013</v>
      </c>
      <c r="P8" s="1666">
        <f>O8/$O$83</f>
        <v>0.29346427744503334</v>
      </c>
      <c r="Q8" s="1667">
        <f>O8*1.02</f>
        <v>89313653.414160013</v>
      </c>
      <c r="R8" s="1666">
        <f>Q8/$Q$83</f>
        <v>0.29417964265456625</v>
      </c>
      <c r="S8" s="1667">
        <f>Q8*1.02</f>
        <v>91099926.482443213</v>
      </c>
      <c r="T8" s="1666">
        <f>S8/$S$83</f>
        <v>0.29469672999928698</v>
      </c>
      <c r="W8" s="1668">
        <f t="shared" ref="W8:W15" si="0">E8/C8-1</f>
        <v>0.19148516852197828</v>
      </c>
      <c r="X8" s="1668">
        <f t="shared" ref="X8:X15" si="1">G8/E8-1</f>
        <v>5.716294746325179E-3</v>
      </c>
    </row>
    <row r="9" spans="1:25">
      <c r="A9" s="405"/>
      <c r="B9" s="396" t="str">
        <f>'Kakamega Financials'!A17</f>
        <v>Leave Allowance</v>
      </c>
      <c r="C9" s="399">
        <f>'Kakamega Financials'!B17</f>
        <v>2308081</v>
      </c>
      <c r="D9" s="400">
        <f>C9/$C$83</f>
        <v>1.1081878002042854E-2</v>
      </c>
      <c r="E9" s="246">
        <f>'Kakamega Financials'!C17</f>
        <v>1763933</v>
      </c>
      <c r="F9" s="400">
        <f>E9/$E$83</f>
        <v>7.1402087811582781E-3</v>
      </c>
      <c r="G9" s="401">
        <f>'Kakamega Financials'!D17</f>
        <v>2041900</v>
      </c>
      <c r="H9" s="400">
        <f>G9/$G$83</f>
        <v>8.8322463732819212E-3</v>
      </c>
      <c r="I9" s="1460">
        <f>'Kakamega Financials'!E17</f>
        <v>1579270</v>
      </c>
      <c r="J9" s="400">
        <f>I9/$I$83</f>
        <v>5.4276370721185871E-3</v>
      </c>
      <c r="K9" s="1667">
        <f t="shared" ref="K9:K35" si="2">I9*1.01</f>
        <v>1595062.7</v>
      </c>
      <c r="L9" s="400">
        <f>K9/$K$83</f>
        <v>5.5205114886890819E-3</v>
      </c>
      <c r="M9" s="1667">
        <f t="shared" ref="M9:M35" si="3">K9*1.02</f>
        <v>1626963.9539999999</v>
      </c>
      <c r="N9" s="400">
        <f>M9/$M$83</f>
        <v>5.5498498370060087E-3</v>
      </c>
      <c r="O9" s="402">
        <f>M9*1.02</f>
        <v>1659503.2330799999</v>
      </c>
      <c r="P9" s="400">
        <f>O9/$O$83</f>
        <v>5.5618037844036294E-3</v>
      </c>
      <c r="Q9" s="402">
        <f>O9*1.02</f>
        <v>1692693.2977415998</v>
      </c>
      <c r="R9" s="400">
        <f>Q9/$Q$83</f>
        <v>5.5753615535612611E-3</v>
      </c>
      <c r="S9" s="402">
        <f>Q9*1.02</f>
        <v>1726547.1636964318</v>
      </c>
      <c r="T9" s="400">
        <f>S9/$S$83</f>
        <v>5.5851615141417222E-3</v>
      </c>
      <c r="W9" s="274">
        <f t="shared" si="0"/>
        <v>-0.23575775720176195</v>
      </c>
      <c r="X9" s="274">
        <f t="shared" si="1"/>
        <v>0.15758364971912209</v>
      </c>
    </row>
    <row r="10" spans="1:25">
      <c r="A10" s="405"/>
      <c r="B10" s="396" t="str">
        <f>'Kakamega Financials'!A18</f>
        <v>Transfer Allowance</v>
      </c>
      <c r="C10" s="399">
        <f>'Kakamega Financials'!B18</f>
        <v>612000</v>
      </c>
      <c r="D10" s="400">
        <f>C10/$C$83</f>
        <v>2.9384191184149201E-3</v>
      </c>
      <c r="E10" s="246">
        <f>'Kakamega Financials'!C18</f>
        <v>254600</v>
      </c>
      <c r="F10" s="400">
        <f>E10/$E$83</f>
        <v>1.0305930869726331E-3</v>
      </c>
      <c r="G10" s="401">
        <f>'Kakamega Financials'!D18</f>
        <v>846600</v>
      </c>
      <c r="H10" s="400">
        <f>G10/$G$83</f>
        <v>3.6619715851023429E-3</v>
      </c>
      <c r="I10" s="1460">
        <f>'Kakamega Financials'!E18</f>
        <v>1784300</v>
      </c>
      <c r="J10" s="400">
        <f>I10/$I$83</f>
        <v>6.1322844274767424E-3</v>
      </c>
      <c r="K10" s="1667">
        <f t="shared" si="2"/>
        <v>1802143</v>
      </c>
      <c r="L10" s="400">
        <f>K10/$K$83</f>
        <v>6.2372163399975486E-3</v>
      </c>
      <c r="M10" s="1667">
        <f t="shared" si="3"/>
        <v>1838185.86</v>
      </c>
      <c r="N10" s="400">
        <f>M10/$M$83</f>
        <v>6.2703635630195105E-3</v>
      </c>
      <c r="O10" s="402">
        <f t="shared" ref="O10:O35" si="4">M10*1.02</f>
        <v>1874949.5772000002</v>
      </c>
      <c r="P10" s="400">
        <f>O10/$O$83</f>
        <v>6.2838694412680517E-3</v>
      </c>
      <c r="Q10" s="402">
        <f t="shared" ref="Q10:Q35" si="5">O10*1.02</f>
        <v>1912448.5687440003</v>
      </c>
      <c r="R10" s="400">
        <f>Q10/$Q$83</f>
        <v>6.2991873587286279E-3</v>
      </c>
      <c r="S10" s="402">
        <f t="shared" ref="S10:S35" si="6">Q10*1.02</f>
        <v>1950697.5401188803</v>
      </c>
      <c r="T10" s="400">
        <f>S10/$S$83</f>
        <v>6.3102596070862349E-3</v>
      </c>
      <c r="W10" s="274">
        <f t="shared" si="0"/>
        <v>-0.58398692810457509</v>
      </c>
      <c r="X10" s="274">
        <f t="shared" si="1"/>
        <v>2.3252160251374705</v>
      </c>
    </row>
    <row r="11" spans="1:25">
      <c r="A11" s="405"/>
      <c r="B11" s="396" t="str">
        <f>'Kakamega Financials'!A19</f>
        <v>Commuter Allowance</v>
      </c>
      <c r="C11" s="399">
        <f>'Kakamega Financials'!B19</f>
        <v>6400000</v>
      </c>
      <c r="D11" s="400">
        <f>C11/$C$83</f>
        <v>3.0728565944208312E-2</v>
      </c>
      <c r="E11" s="246">
        <f>'Kakamega Financials'!C19</f>
        <v>7622000</v>
      </c>
      <c r="F11" s="400">
        <f>E11/$E$83</f>
        <v>3.0853026350767514E-2</v>
      </c>
      <c r="G11" s="401">
        <f>'Kakamega Financials'!D19</f>
        <v>6630000</v>
      </c>
      <c r="H11" s="400">
        <f>G11/$G$83</f>
        <v>2.8678090726705095E-2</v>
      </c>
      <c r="I11" s="1460">
        <f>'Kakamega Financials'!E19</f>
        <v>7633000</v>
      </c>
      <c r="J11" s="400">
        <f>I11/$I$83</f>
        <v>2.6233103757736916E-2</v>
      </c>
      <c r="K11" s="1667">
        <f t="shared" si="2"/>
        <v>7709330</v>
      </c>
      <c r="L11" s="400">
        <f>K11/$K$83</f>
        <v>2.6681988635992429E-2</v>
      </c>
      <c r="M11" s="1667">
        <f t="shared" si="3"/>
        <v>7863516.6000000006</v>
      </c>
      <c r="N11" s="400">
        <f>M11/$M$83</f>
        <v>2.6823788083017389E-2</v>
      </c>
      <c r="O11" s="402">
        <f t="shared" si="4"/>
        <v>8020786.932000001</v>
      </c>
      <c r="P11" s="400">
        <f>O11/$O$83</f>
        <v>2.6881564448354562E-2</v>
      </c>
      <c r="Q11" s="402">
        <f t="shared" si="5"/>
        <v>8181202.6706400011</v>
      </c>
      <c r="R11" s="400">
        <f>Q11/$Q$83</f>
        <v>2.6947092478381222E-2</v>
      </c>
      <c r="S11" s="402">
        <f t="shared" si="6"/>
        <v>8344826.7240528008</v>
      </c>
      <c r="T11" s="400">
        <f>S11/$S$83</f>
        <v>2.6994458096110084E-2</v>
      </c>
      <c r="W11" s="274">
        <f t="shared" si="0"/>
        <v>0.19093749999999998</v>
      </c>
      <c r="X11" s="274">
        <f t="shared" si="1"/>
        <v>-0.13014956704277092</v>
      </c>
    </row>
    <row r="12" spans="1:25">
      <c r="A12" s="405"/>
      <c r="B12" s="396" t="str">
        <f>'Kakamega Financials'!A20</f>
        <v>House Allowance</v>
      </c>
      <c r="C12" s="399">
        <f>'Kakamega Financials'!B20</f>
        <v>19205500</v>
      </c>
      <c r="D12" s="400">
        <f>C12/$C$83</f>
        <v>9.2212105193983249E-2</v>
      </c>
      <c r="E12" s="246">
        <f>'Kakamega Financials'!C20</f>
        <v>23077000</v>
      </c>
      <c r="F12" s="400">
        <f>E12/$E$83</f>
        <v>9.3413184085103906E-2</v>
      </c>
      <c r="G12" s="401">
        <f>'Kakamega Financials'!D20</f>
        <v>22149500</v>
      </c>
      <c r="H12" s="400">
        <f>G12/$G$83</f>
        <v>9.5807748197760861E-2</v>
      </c>
      <c r="I12" s="1460">
        <f>'Kakamega Financials'!E20</f>
        <v>23436000</v>
      </c>
      <c r="J12" s="400">
        <f>I12/$I$83</f>
        <v>8.0544873531550154E-2</v>
      </c>
      <c r="K12" s="1667">
        <f t="shared" si="2"/>
        <v>23670360</v>
      </c>
      <c r="L12" s="400">
        <f>K12/$K$83</f>
        <v>8.1923108302517825E-2</v>
      </c>
      <c r="M12" s="1667">
        <f t="shared" si="3"/>
        <v>24143767.199999999</v>
      </c>
      <c r="N12" s="400">
        <f>M12/$M$83</f>
        <v>8.2358482577439468E-2</v>
      </c>
      <c r="O12" s="402">
        <f t="shared" si="4"/>
        <v>24626642.544</v>
      </c>
      <c r="P12" s="400">
        <f>O12/$O$83</f>
        <v>8.2535876380405798E-2</v>
      </c>
      <c r="Q12" s="402">
        <f t="shared" si="5"/>
        <v>25119175.394880001</v>
      </c>
      <c r="R12" s="400">
        <f>Q12/$Q$83</f>
        <v>8.2737070525788325E-2</v>
      </c>
      <c r="S12" s="402">
        <f t="shared" si="6"/>
        <v>25621558.902777601</v>
      </c>
      <c r="T12" s="400">
        <f>S12/$S$83</f>
        <v>8.2882499664671289E-2</v>
      </c>
      <c r="W12" s="274">
        <f t="shared" si="0"/>
        <v>0.2015828799041941</v>
      </c>
      <c r="X12" s="274">
        <f t="shared" si="1"/>
        <v>-4.0191532694891063E-2</v>
      </c>
    </row>
    <row r="13" spans="1:25">
      <c r="A13" s="405"/>
      <c r="B13" s="396" t="str">
        <f>'Kakamega Financials'!A16</f>
        <v>Medical Allowance</v>
      </c>
      <c r="C13" s="399"/>
      <c r="D13" s="400"/>
      <c r="E13" s="246"/>
      <c r="F13" s="400"/>
      <c r="G13" s="401"/>
      <c r="H13" s="400"/>
      <c r="I13" s="1460">
        <f>'Kakamega Financials'!E16</f>
        <v>9370600</v>
      </c>
      <c r="J13" s="400"/>
      <c r="K13" s="1667"/>
      <c r="L13" s="400"/>
      <c r="M13" s="1667"/>
      <c r="N13" s="400"/>
      <c r="O13" s="402"/>
      <c r="P13" s="400"/>
      <c r="Q13" s="402"/>
      <c r="R13" s="400"/>
      <c r="S13" s="402"/>
      <c r="T13" s="400"/>
      <c r="W13" s="274"/>
      <c r="X13" s="274"/>
    </row>
    <row r="14" spans="1:25">
      <c r="A14" s="405"/>
      <c r="B14" s="396" t="str">
        <f>'Kakamega Financials'!A21</f>
        <v>Airtime Allowance</v>
      </c>
      <c r="C14" s="399">
        <f>'Kakamega Financials'!B21</f>
        <v>1464000</v>
      </c>
      <c r="D14" s="400">
        <f t="shared" ref="D14:D23" si="7">C14/$C$83</f>
        <v>7.0291594597376517E-3</v>
      </c>
      <c r="E14" s="246">
        <f>'Kakamega Financials'!C21</f>
        <v>1787000</v>
      </c>
      <c r="F14" s="400">
        <f t="shared" ref="F14:F26" si="8">E14/$E$83</f>
        <v>7.2335814863318743E-3</v>
      </c>
      <c r="G14" s="401">
        <f>'Kakamega Financials'!D21</f>
        <v>1790000</v>
      </c>
      <c r="H14" s="400">
        <f t="shared" ref="H14:H26" si="9">G14/$G$83</f>
        <v>7.7426519458223412E-3</v>
      </c>
      <c r="I14" s="1460">
        <f>'Kakamega Financials'!E21</f>
        <v>1924000</v>
      </c>
      <c r="J14" s="400">
        <f t="shared" ref="J14:J26" si="10">I14/$I$83</f>
        <v>6.6124055587430666E-3</v>
      </c>
      <c r="K14" s="1667">
        <f t="shared" si="2"/>
        <v>1943240</v>
      </c>
      <c r="L14" s="400">
        <f t="shared" ref="L14:L26" si="11">K14/$K$83</f>
        <v>6.7255530113519493E-3</v>
      </c>
      <c r="M14" s="1667">
        <f t="shared" si="3"/>
        <v>1982104.8</v>
      </c>
      <c r="N14" s="400">
        <f t="shared" ref="N14:N26" si="12">M14/$M$83</f>
        <v>6.7612954633467122E-3</v>
      </c>
      <c r="O14" s="402">
        <f t="shared" si="4"/>
        <v>2021746.8960000002</v>
      </c>
      <c r="P14" s="400">
        <f t="shared" ref="P14:P26" si="13">O14/$O$83</f>
        <v>6.7758587709464396E-3</v>
      </c>
      <c r="Q14" s="402">
        <f t="shared" si="5"/>
        <v>2062181.8339200001</v>
      </c>
      <c r="R14" s="400">
        <f t="shared" ref="R14:R26" si="14">Q14/$Q$83</f>
        <v>6.7923759895723137E-3</v>
      </c>
      <c r="S14" s="402">
        <f t="shared" si="6"/>
        <v>2103425.4705984001</v>
      </c>
      <c r="T14" s="400">
        <f t="shared" ref="T14:T26" si="15">S14/$S$83</f>
        <v>6.8043151286408757E-3</v>
      </c>
      <c r="W14" s="274">
        <f t="shared" si="0"/>
        <v>0.22062841530054644</v>
      </c>
      <c r="X14" s="274">
        <f t="shared" si="1"/>
        <v>1.6787912702853625E-3</v>
      </c>
    </row>
    <row r="15" spans="1:25">
      <c r="A15" s="405"/>
      <c r="B15" s="396" t="str">
        <f>'Kakamega Financials'!A22</f>
        <v>Provident Fund</v>
      </c>
      <c r="C15" s="399">
        <f>'Kakamega Financials'!B22</f>
        <v>12316036</v>
      </c>
      <c r="D15" s="400">
        <f t="shared" si="7"/>
        <v>5.9133456937069312E-2</v>
      </c>
      <c r="E15" s="246">
        <f>'Kakamega Financials'!C22</f>
        <v>12788223</v>
      </c>
      <c r="F15" s="400">
        <f t="shared" si="8"/>
        <v>5.1765334715099864E-2</v>
      </c>
      <c r="G15" s="401">
        <f>'Kakamega Financials'!D22</f>
        <v>13591570</v>
      </c>
      <c r="H15" s="400">
        <f t="shared" si="9"/>
        <v>5.879038877501707E-2</v>
      </c>
      <c r="I15" s="1460">
        <f>'Kakamega Financials'!E22</f>
        <v>0</v>
      </c>
      <c r="J15" s="400">
        <f t="shared" si="10"/>
        <v>0</v>
      </c>
      <c r="K15" s="1667">
        <f t="shared" si="2"/>
        <v>0</v>
      </c>
      <c r="L15" s="400">
        <f t="shared" si="11"/>
        <v>0</v>
      </c>
      <c r="M15" s="1667">
        <f t="shared" si="3"/>
        <v>0</v>
      </c>
      <c r="N15" s="400">
        <f t="shared" si="12"/>
        <v>0</v>
      </c>
      <c r="O15" s="402">
        <f t="shared" si="4"/>
        <v>0</v>
      </c>
      <c r="P15" s="400">
        <f t="shared" si="13"/>
        <v>0</v>
      </c>
      <c r="Q15" s="402">
        <f t="shared" si="5"/>
        <v>0</v>
      </c>
      <c r="R15" s="400">
        <f t="shared" si="14"/>
        <v>0</v>
      </c>
      <c r="S15" s="402">
        <f t="shared" si="6"/>
        <v>0</v>
      </c>
      <c r="T15" s="400">
        <f t="shared" si="15"/>
        <v>0</v>
      </c>
      <c r="W15" s="274">
        <f t="shared" si="0"/>
        <v>3.8339202646046289E-2</v>
      </c>
      <c r="X15" s="274">
        <f t="shared" si="1"/>
        <v>6.2819283023137773E-2</v>
      </c>
    </row>
    <row r="16" spans="1:25">
      <c r="A16" s="405"/>
      <c r="B16" s="396" t="str">
        <f>'Kakamega Financials'!A23</f>
        <v>NSSF Employer</v>
      </c>
      <c r="C16" s="399">
        <f>'Kakamega Financials'!B23</f>
        <v>2046600</v>
      </c>
      <c r="D16" s="400">
        <f t="shared" si="7"/>
        <v>9.8264192283463638E-3</v>
      </c>
      <c r="E16" s="246">
        <f>'Kakamega Financials'!C23</f>
        <v>2372760</v>
      </c>
      <c r="F16" s="400">
        <f t="shared" si="8"/>
        <v>9.6046742067760604E-3</v>
      </c>
      <c r="G16" s="401">
        <f>'Kakamega Financials'!D23</f>
        <v>2268000</v>
      </c>
      <c r="H16" s="400">
        <f t="shared" si="9"/>
        <v>9.8102428006285308E-3</v>
      </c>
      <c r="I16" s="1460">
        <f>'Kakamega Financials'!E23</f>
        <v>2371640</v>
      </c>
      <c r="J16" s="400">
        <f t="shared" si="10"/>
        <v>8.1508552595308762E-3</v>
      </c>
      <c r="K16" s="1667">
        <f t="shared" si="2"/>
        <v>2395356.4</v>
      </c>
      <c r="L16" s="400">
        <f t="shared" si="11"/>
        <v>8.2903277254899876E-3</v>
      </c>
      <c r="M16" s="1667">
        <f t="shared" si="3"/>
        <v>2443263.5279999999</v>
      </c>
      <c r="N16" s="400">
        <f t="shared" si="12"/>
        <v>8.334386056492513E-3</v>
      </c>
      <c r="O16" s="402">
        <f t="shared" si="4"/>
        <v>2492128.79856</v>
      </c>
      <c r="P16" s="400">
        <f t="shared" si="13"/>
        <v>8.3523376795880521E-3</v>
      </c>
      <c r="Q16" s="402">
        <f t="shared" si="5"/>
        <v>2541971.3745312002</v>
      </c>
      <c r="R16" s="400">
        <f t="shared" si="14"/>
        <v>8.3726978128426614E-3</v>
      </c>
      <c r="S16" s="402">
        <f t="shared" si="6"/>
        <v>2592810.8020218243</v>
      </c>
      <c r="T16" s="400">
        <f t="shared" si="15"/>
        <v>8.3874147254105226E-3</v>
      </c>
      <c r="W16" s="274"/>
      <c r="X16" s="274"/>
    </row>
    <row r="17" spans="1:24">
      <c r="A17" s="405"/>
      <c r="B17" s="396" t="str">
        <f>'Kakamega Financials'!A24</f>
        <v>Acting Allowance</v>
      </c>
      <c r="C17" s="399">
        <f>'Kakamega Financials'!B24</f>
        <v>551750</v>
      </c>
      <c r="D17" s="400">
        <f t="shared" si="7"/>
        <v>2.6491384780807713E-3</v>
      </c>
      <c r="E17" s="246">
        <f>'Kakamega Financials'!C24</f>
        <v>760625</v>
      </c>
      <c r="F17" s="400">
        <f t="shared" si="8"/>
        <v>3.0789272065143715E-3</v>
      </c>
      <c r="G17" s="401">
        <f>'Kakamega Financials'!D24</f>
        <v>731750</v>
      </c>
      <c r="H17" s="400">
        <f t="shared" si="9"/>
        <v>3.165187464444412E-3</v>
      </c>
      <c r="I17" s="1460">
        <f>'Kakamega Financials'!E24</f>
        <v>354480</v>
      </c>
      <c r="J17" s="400">
        <f t="shared" si="10"/>
        <v>1.2182772985775687E-3</v>
      </c>
      <c r="K17" s="1667">
        <f t="shared" si="2"/>
        <v>358024.8</v>
      </c>
      <c r="L17" s="400">
        <f t="shared" si="11"/>
        <v>1.2391237169771512E-3</v>
      </c>
      <c r="M17" s="1667">
        <f t="shared" si="3"/>
        <v>365185.29599999997</v>
      </c>
      <c r="N17" s="400">
        <f t="shared" si="12"/>
        <v>1.2457089479455002E-3</v>
      </c>
      <c r="O17" s="402">
        <f t="shared" si="4"/>
        <v>372489.00191999995</v>
      </c>
      <c r="P17" s="400">
        <f t="shared" si="13"/>
        <v>1.248392108692876E-3</v>
      </c>
      <c r="Q17" s="402">
        <f t="shared" si="5"/>
        <v>379938.78195839998</v>
      </c>
      <c r="R17" s="400">
        <f t="shared" si="14"/>
        <v>1.2514352602825329E-3</v>
      </c>
      <c r="S17" s="402">
        <f t="shared" si="6"/>
        <v>387537.55759756797</v>
      </c>
      <c r="T17" s="400">
        <f t="shared" si="15"/>
        <v>1.2536349411645619E-3</v>
      </c>
      <c r="W17" s="274"/>
      <c r="X17" s="274"/>
    </row>
    <row r="18" spans="1:24">
      <c r="A18" s="405"/>
      <c r="B18" s="396" t="str">
        <f>'Kakamega Financials'!A25</f>
        <v>Special Duty Allowance</v>
      </c>
      <c r="C18" s="399">
        <f>'Kakamega Financials'!B25</f>
        <v>781920</v>
      </c>
      <c r="D18" s="400">
        <f t="shared" si="7"/>
        <v>3.7542625442336507E-3</v>
      </c>
      <c r="E18" s="246">
        <f>'Kakamega Financials'!C25</f>
        <v>436470</v>
      </c>
      <c r="F18" s="400">
        <f t="shared" si="8"/>
        <v>1.7667830505535944E-3</v>
      </c>
      <c r="G18" s="401">
        <f>'Kakamega Financials'!D25</f>
        <v>415290</v>
      </c>
      <c r="H18" s="400">
        <f t="shared" si="9"/>
        <v>1.7963385064695865E-3</v>
      </c>
      <c r="I18" s="1460">
        <f>'Kakamega Financials'!E25</f>
        <v>506400</v>
      </c>
      <c r="J18" s="400">
        <f t="shared" si="10"/>
        <v>1.7403961408250981E-3</v>
      </c>
      <c r="K18" s="1667">
        <f t="shared" si="2"/>
        <v>511464</v>
      </c>
      <c r="L18" s="400">
        <f t="shared" si="11"/>
        <v>1.7701767385387875E-3</v>
      </c>
      <c r="M18" s="1667">
        <f t="shared" si="3"/>
        <v>521693.28</v>
      </c>
      <c r="N18" s="400">
        <f t="shared" si="12"/>
        <v>1.7795842113507146E-3</v>
      </c>
      <c r="O18" s="402">
        <f t="shared" si="4"/>
        <v>532127.14560000005</v>
      </c>
      <c r="P18" s="400">
        <f t="shared" si="13"/>
        <v>1.7834172981326805E-3</v>
      </c>
      <c r="Q18" s="402">
        <f t="shared" si="5"/>
        <v>542769.68851200002</v>
      </c>
      <c r="R18" s="400">
        <f t="shared" si="14"/>
        <v>1.7877646575464757E-3</v>
      </c>
      <c r="S18" s="402">
        <f t="shared" si="6"/>
        <v>553625.08228224004</v>
      </c>
      <c r="T18" s="400">
        <f t="shared" si="15"/>
        <v>1.7909070588065174E-3</v>
      </c>
      <c r="W18" s="274"/>
      <c r="X18" s="274"/>
    </row>
    <row r="19" spans="1:24">
      <c r="A19" s="405"/>
      <c r="B19" s="396" t="str">
        <f>'Kakamega Financials'!A26</f>
        <v>Casual Wages</v>
      </c>
      <c r="C19" s="399">
        <f>'Kakamega Financials'!B26</f>
        <v>2791328</v>
      </c>
      <c r="D19" s="400">
        <f t="shared" si="7"/>
        <v>1.3402110393736734E-2</v>
      </c>
      <c r="E19" s="246">
        <f>'Kakamega Financials'!C26</f>
        <v>644709</v>
      </c>
      <c r="F19" s="400">
        <f t="shared" si="8"/>
        <v>2.6097118558878214E-3</v>
      </c>
      <c r="G19" s="401">
        <f>'Kakamega Financials'!D26</f>
        <v>849848</v>
      </c>
      <c r="H19" s="400">
        <f t="shared" si="9"/>
        <v>3.676020821705712E-3</v>
      </c>
      <c r="I19" s="1460">
        <f>'Kakamega Financials'!E26</f>
        <v>1871347</v>
      </c>
      <c r="J19" s="400">
        <f t="shared" si="10"/>
        <v>6.431447663792703E-3</v>
      </c>
      <c r="K19" s="1667">
        <f t="shared" si="2"/>
        <v>1890060.47</v>
      </c>
      <c r="L19" s="400">
        <f t="shared" si="11"/>
        <v>6.5414986752257986E-3</v>
      </c>
      <c r="M19" s="1667">
        <f t="shared" si="3"/>
        <v>1927861.6794</v>
      </c>
      <c r="N19" s="400">
        <f t="shared" si="12"/>
        <v>6.5762629841203115E-3</v>
      </c>
      <c r="O19" s="402">
        <f t="shared" si="4"/>
        <v>1966418.9129880001</v>
      </c>
      <c r="P19" s="400">
        <f t="shared" si="13"/>
        <v>6.590427746067727E-3</v>
      </c>
      <c r="Q19" s="402">
        <f t="shared" si="5"/>
        <v>2005747.2912477602</v>
      </c>
      <c r="R19" s="400">
        <f t="shared" si="14"/>
        <v>6.6064929474834617E-3</v>
      </c>
      <c r="S19" s="402">
        <f t="shared" si="6"/>
        <v>2045862.2370727153</v>
      </c>
      <c r="T19" s="400">
        <f t="shared" si="15"/>
        <v>6.6181053550086882E-3</v>
      </c>
      <c r="W19" s="274">
        <f>E19/C19-1</f>
        <v>-0.76903144309805227</v>
      </c>
      <c r="X19" s="274">
        <f>G19/E19-1</f>
        <v>0.3181885160591833</v>
      </c>
    </row>
    <row r="20" spans="1:24">
      <c r="A20" s="405"/>
      <c r="B20" s="396" t="str">
        <f>'Kakamega Financials'!A27</f>
        <v>Performance Reward</v>
      </c>
      <c r="C20" s="399">
        <f>'Kakamega Financials'!B27</f>
        <v>1789552</v>
      </c>
      <c r="D20" s="400">
        <f t="shared" si="7"/>
        <v>8.5922447879046675E-3</v>
      </c>
      <c r="E20" s="246">
        <f>'Kakamega Financials'!C27</f>
        <v>2222160</v>
      </c>
      <c r="F20" s="400">
        <f t="shared" si="8"/>
        <v>8.9950617994780293E-3</v>
      </c>
      <c r="G20" s="401">
        <f>'Kakamega Financials'!D27</f>
        <v>1745000</v>
      </c>
      <c r="H20" s="400">
        <f t="shared" si="9"/>
        <v>7.5480042712066956E-3</v>
      </c>
      <c r="I20" s="1460">
        <f>'Kakamega Financials'!E27</f>
        <v>3528900</v>
      </c>
      <c r="J20" s="400">
        <f t="shared" si="10"/>
        <v>1.2128127846282956E-2</v>
      </c>
      <c r="K20" s="1667">
        <v>0</v>
      </c>
      <c r="L20" s="400">
        <f t="shared" si="11"/>
        <v>0</v>
      </c>
      <c r="M20" s="1667">
        <f t="shared" si="3"/>
        <v>0</v>
      </c>
      <c r="N20" s="400">
        <f t="shared" si="12"/>
        <v>0</v>
      </c>
      <c r="O20" s="402">
        <f t="shared" si="4"/>
        <v>0</v>
      </c>
      <c r="P20" s="400">
        <f t="shared" si="13"/>
        <v>0</v>
      </c>
      <c r="Q20" s="402">
        <f t="shared" si="5"/>
        <v>0</v>
      </c>
      <c r="R20" s="400">
        <f t="shared" si="14"/>
        <v>0</v>
      </c>
      <c r="S20" s="402">
        <f t="shared" si="6"/>
        <v>0</v>
      </c>
      <c r="T20" s="400">
        <f t="shared" si="15"/>
        <v>0</v>
      </c>
      <c r="W20" s="274"/>
      <c r="X20" s="274"/>
    </row>
    <row r="21" spans="1:24">
      <c r="A21" s="405"/>
      <c r="B21" s="396" t="str">
        <f>'Kakamega Financials'!A29</f>
        <v>Risk Allowance</v>
      </c>
      <c r="C21" s="399">
        <f>'Kakamega Financials'!B29</f>
        <v>0</v>
      </c>
      <c r="D21" s="400">
        <f t="shared" si="7"/>
        <v>0</v>
      </c>
      <c r="E21" s="246">
        <f>'Kakamega Financials'!C29</f>
        <v>0</v>
      </c>
      <c r="F21" s="400">
        <f t="shared" si="8"/>
        <v>0</v>
      </c>
      <c r="G21" s="401">
        <f>'Kakamega Financials'!D29</f>
        <v>0</v>
      </c>
      <c r="H21" s="400">
        <f t="shared" si="9"/>
        <v>0</v>
      </c>
      <c r="I21" s="1460">
        <f>'Kakamega Financials'!E29</f>
        <v>108000</v>
      </c>
      <c r="J21" s="400">
        <f t="shared" si="10"/>
        <v>3.7117453240345693E-4</v>
      </c>
      <c r="K21" s="1667">
        <f t="shared" si="2"/>
        <v>109080</v>
      </c>
      <c r="L21" s="400">
        <f t="shared" si="11"/>
        <v>3.7752584471206373E-4</v>
      </c>
      <c r="M21" s="1667">
        <f t="shared" si="3"/>
        <v>111261.6</v>
      </c>
      <c r="N21" s="400">
        <f t="shared" si="12"/>
        <v>3.7953217777621874E-4</v>
      </c>
      <c r="O21" s="402">
        <f t="shared" si="4"/>
        <v>113486.83200000001</v>
      </c>
      <c r="P21" s="400">
        <f t="shared" si="13"/>
        <v>3.8034966073919723E-4</v>
      </c>
      <c r="Q21" s="402">
        <f t="shared" si="5"/>
        <v>115756.56864000001</v>
      </c>
      <c r="R21" s="400">
        <f t="shared" si="14"/>
        <v>3.8127682269948536E-4</v>
      </c>
      <c r="S21" s="402">
        <f t="shared" si="6"/>
        <v>118071.70001280002</v>
      </c>
      <c r="T21" s="400">
        <f t="shared" si="15"/>
        <v>3.8194700306300134E-4</v>
      </c>
      <c r="W21" s="274"/>
      <c r="X21" s="274"/>
    </row>
    <row r="22" spans="1:24">
      <c r="A22" s="405"/>
      <c r="B22" s="396" t="str">
        <f>'Kakamega Financials'!A30</f>
        <v>Entertainment Allowance</v>
      </c>
      <c r="C22" s="399">
        <f>'Kakamega Financials'!B30</f>
        <v>0</v>
      </c>
      <c r="D22" s="400">
        <f t="shared" si="7"/>
        <v>0</v>
      </c>
      <c r="E22" s="246">
        <f>'Kakamega Financials'!C30</f>
        <v>0</v>
      </c>
      <c r="F22" s="400">
        <f t="shared" si="8"/>
        <v>0</v>
      </c>
      <c r="G22" s="401">
        <f>'Kakamega Financials'!D30</f>
        <v>0</v>
      </c>
      <c r="H22" s="400">
        <f t="shared" si="9"/>
        <v>0</v>
      </c>
      <c r="I22" s="1460">
        <f>'Kakamega Financials'!E30</f>
        <v>260000</v>
      </c>
      <c r="J22" s="400">
        <f t="shared" si="10"/>
        <v>8.9356831874906303E-4</v>
      </c>
      <c r="K22" s="1667">
        <f t="shared" si="2"/>
        <v>262600</v>
      </c>
      <c r="L22" s="400">
        <f t="shared" si="11"/>
        <v>9.0885851504756072E-4</v>
      </c>
      <c r="M22" s="1667">
        <f t="shared" si="3"/>
        <v>267852</v>
      </c>
      <c r="N22" s="400">
        <f t="shared" si="12"/>
        <v>9.1368857612793405E-4</v>
      </c>
      <c r="O22" s="402">
        <f t="shared" si="4"/>
        <v>273209.03999999998</v>
      </c>
      <c r="P22" s="400">
        <f t="shared" si="13"/>
        <v>9.156565906684376E-4</v>
      </c>
      <c r="Q22" s="402">
        <f t="shared" si="5"/>
        <v>278673.22080000001</v>
      </c>
      <c r="R22" s="400">
        <f t="shared" si="14"/>
        <v>9.1788864723950175E-4</v>
      </c>
      <c r="S22" s="402">
        <f t="shared" si="6"/>
        <v>284246.68521600001</v>
      </c>
      <c r="T22" s="400">
        <f t="shared" si="15"/>
        <v>9.1950204441092914E-4</v>
      </c>
      <c r="W22" s="274"/>
      <c r="X22" s="274"/>
    </row>
    <row r="23" spans="1:24" s="1675" customFormat="1">
      <c r="A23" s="1681"/>
      <c r="B23" s="1678" t="str">
        <f>'Kakamega Financials'!A32</f>
        <v>Arrears</v>
      </c>
      <c r="C23" s="1671">
        <f>'Kakamega Financials'!B32</f>
        <v>0</v>
      </c>
      <c r="D23" s="1672">
        <f t="shared" si="7"/>
        <v>0</v>
      </c>
      <c r="E23" s="1673">
        <f>'Kakamega Financials'!C32</f>
        <v>0</v>
      </c>
      <c r="F23" s="1672">
        <f t="shared" si="8"/>
        <v>0</v>
      </c>
      <c r="G23" s="1674">
        <f>'Kakamega Financials'!D32</f>
        <v>0</v>
      </c>
      <c r="H23" s="1672">
        <f t="shared" si="9"/>
        <v>0</v>
      </c>
      <c r="I23" s="1674"/>
      <c r="J23" s="1672">
        <f t="shared" si="10"/>
        <v>0</v>
      </c>
      <c r="K23" s="1667">
        <f t="shared" si="2"/>
        <v>0</v>
      </c>
      <c r="L23" s="1672">
        <f t="shared" si="11"/>
        <v>0</v>
      </c>
      <c r="M23" s="1667">
        <f t="shared" si="3"/>
        <v>0</v>
      </c>
      <c r="N23" s="1672">
        <f t="shared" si="12"/>
        <v>0</v>
      </c>
      <c r="O23" s="402">
        <f t="shared" si="4"/>
        <v>0</v>
      </c>
      <c r="P23" s="1672">
        <f t="shared" si="13"/>
        <v>0</v>
      </c>
      <c r="Q23" s="402">
        <f t="shared" si="5"/>
        <v>0</v>
      </c>
      <c r="R23" s="1672">
        <f t="shared" si="14"/>
        <v>0</v>
      </c>
      <c r="S23" s="402">
        <f t="shared" si="6"/>
        <v>0</v>
      </c>
      <c r="T23" s="1672">
        <f t="shared" si="15"/>
        <v>0</v>
      </c>
      <c r="U23" s="1675" t="s">
        <v>1006</v>
      </c>
      <c r="W23" s="1679"/>
      <c r="X23" s="1679"/>
    </row>
    <row r="24" spans="1:24">
      <c r="A24" s="405"/>
      <c r="B24" s="396" t="str">
        <f>'Kakamega Financials'!A33</f>
        <v>Pension (Employer Contribution)</v>
      </c>
      <c r="C24" s="399">
        <f>'Kakamega Financials'!B33</f>
        <v>0</v>
      </c>
      <c r="E24" s="246">
        <f>'Kakamega Financials'!C33</f>
        <v>0</v>
      </c>
      <c r="F24" s="400">
        <f t="shared" si="8"/>
        <v>0</v>
      </c>
      <c r="G24" s="401">
        <f>'Kakamega Financials'!D33</f>
        <v>0</v>
      </c>
      <c r="H24" s="400">
        <f t="shared" si="9"/>
        <v>0</v>
      </c>
      <c r="I24" s="1460">
        <f>'Kakamega Financials'!E33</f>
        <v>14204445</v>
      </c>
      <c r="J24" s="400">
        <f t="shared" si="10"/>
        <v>4.8817853990052056E-2</v>
      </c>
      <c r="K24" s="1667">
        <f t="shared" si="2"/>
        <v>14346489.449999999</v>
      </c>
      <c r="L24" s="400">
        <f t="shared" si="11"/>
        <v>4.9653195345287497E-2</v>
      </c>
      <c r="M24" s="1667">
        <f t="shared" si="3"/>
        <v>14633419.239</v>
      </c>
      <c r="N24" s="400">
        <f t="shared" si="12"/>
        <v>4.9917073564375199E-2</v>
      </c>
      <c r="O24" s="402">
        <f t="shared" si="4"/>
        <v>14926087.623780001</v>
      </c>
      <c r="P24" s="400">
        <f t="shared" si="13"/>
        <v>5.0024591080912839E-2</v>
      </c>
      <c r="Q24" s="402">
        <f t="shared" si="5"/>
        <v>15224609.376255602</v>
      </c>
      <c r="R24" s="400">
        <f t="shared" si="14"/>
        <v>5.0146533868607332E-2</v>
      </c>
      <c r="S24" s="402">
        <f t="shared" si="6"/>
        <v>15529101.563780714</v>
      </c>
      <c r="T24" s="400">
        <f t="shared" si="15"/>
        <v>5.0234677758548466E-2</v>
      </c>
      <c r="W24" s="274"/>
      <c r="X24" s="274"/>
    </row>
    <row r="25" spans="1:24">
      <c r="A25" s="405"/>
      <c r="B25" s="396" t="str">
        <f>'Kakamega Financials'!A34</f>
        <v>Gratuity</v>
      </c>
      <c r="C25" s="399">
        <f>'Kakamega Financials'!B34</f>
        <v>1285570</v>
      </c>
      <c r="D25" s="400">
        <f>C24/$C$83</f>
        <v>0</v>
      </c>
      <c r="E25" s="246">
        <f>'Kakamega Financials'!C34</f>
        <v>2064600</v>
      </c>
      <c r="F25" s="400">
        <f t="shared" si="8"/>
        <v>8.357276069771007E-3</v>
      </c>
      <c r="G25" s="401">
        <f>'Kakamega Financials'!D34</f>
        <v>1515900</v>
      </c>
      <c r="H25" s="400">
        <f t="shared" si="9"/>
        <v>6.5570313322190427E-3</v>
      </c>
      <c r="I25" s="1460">
        <f>'Kakamega Financials'!E34</f>
        <v>3906000</v>
      </c>
      <c r="J25" s="400">
        <f t="shared" si="10"/>
        <v>1.3424145588591693E-2</v>
      </c>
      <c r="K25" s="1667">
        <f t="shared" si="2"/>
        <v>3945060</v>
      </c>
      <c r="L25" s="400">
        <f t="shared" si="11"/>
        <v>1.365385138375297E-2</v>
      </c>
      <c r="M25" s="1667">
        <f t="shared" si="3"/>
        <v>4023961.2</v>
      </c>
      <c r="N25" s="400">
        <f t="shared" si="12"/>
        <v>1.3726413762906578E-2</v>
      </c>
      <c r="O25" s="402">
        <f t="shared" si="4"/>
        <v>4104440.4240000001</v>
      </c>
      <c r="P25" s="400">
        <f t="shared" si="13"/>
        <v>1.37559793967343E-2</v>
      </c>
      <c r="Q25" s="402">
        <f t="shared" si="5"/>
        <v>4186529.2324800002</v>
      </c>
      <c r="R25" s="400">
        <f t="shared" si="14"/>
        <v>1.3789511754298054E-2</v>
      </c>
      <c r="S25" s="402">
        <f t="shared" si="6"/>
        <v>4270259.8171295999</v>
      </c>
      <c r="T25" s="400">
        <f t="shared" si="15"/>
        <v>1.3813749944111879E-2</v>
      </c>
      <c r="W25" s="274"/>
      <c r="X25" s="274"/>
    </row>
    <row r="26" spans="1:24">
      <c r="A26" s="405"/>
      <c r="B26" s="396" t="str">
        <f>'Kakamega Financials'!A35</f>
        <v>Non-practising allowance</v>
      </c>
      <c r="C26" s="399">
        <f>'Kakamega Financials'!B35</f>
        <v>0</v>
      </c>
      <c r="D26" s="400">
        <f>C25/$C$83</f>
        <v>6.172456643889981E-3</v>
      </c>
      <c r="E26" s="246">
        <f>'Kakamega Financials'!C35</f>
        <v>0</v>
      </c>
      <c r="F26" s="400">
        <f t="shared" si="8"/>
        <v>0</v>
      </c>
      <c r="G26" s="401">
        <f>'Kakamega Financials'!D35</f>
        <v>180000</v>
      </c>
      <c r="H26" s="400">
        <f t="shared" si="9"/>
        <v>7.7859069846258173E-4</v>
      </c>
      <c r="I26" s="1460">
        <f>'Kakamega Financials'!E35</f>
        <v>0</v>
      </c>
      <c r="J26" s="400">
        <f t="shared" si="10"/>
        <v>0</v>
      </c>
      <c r="K26" s="1667">
        <f t="shared" si="2"/>
        <v>0</v>
      </c>
      <c r="L26" s="400">
        <f t="shared" si="11"/>
        <v>0</v>
      </c>
      <c r="M26" s="1667">
        <f t="shared" si="3"/>
        <v>0</v>
      </c>
      <c r="N26" s="400">
        <f t="shared" si="12"/>
        <v>0</v>
      </c>
      <c r="O26" s="402">
        <f t="shared" si="4"/>
        <v>0</v>
      </c>
      <c r="P26" s="400">
        <f t="shared" si="13"/>
        <v>0</v>
      </c>
      <c r="Q26" s="402">
        <f t="shared" si="5"/>
        <v>0</v>
      </c>
      <c r="R26" s="400">
        <f t="shared" si="14"/>
        <v>0</v>
      </c>
      <c r="S26" s="402">
        <f t="shared" si="6"/>
        <v>0</v>
      </c>
      <c r="T26" s="400">
        <f t="shared" si="15"/>
        <v>0</v>
      </c>
      <c r="W26" s="274"/>
      <c r="X26" s="274"/>
    </row>
    <row r="27" spans="1:24" ht="30">
      <c r="A27" s="406"/>
      <c r="B27" s="1525" t="s">
        <v>926</v>
      </c>
      <c r="C27" s="399"/>
      <c r="D27" s="400"/>
      <c r="E27" s="246"/>
      <c r="F27" s="400"/>
      <c r="G27" s="1524"/>
      <c r="H27" s="400"/>
      <c r="I27" s="1460"/>
      <c r="J27" s="400"/>
      <c r="K27" s="1667">
        <f t="shared" si="2"/>
        <v>0</v>
      </c>
      <c r="L27" s="400"/>
      <c r="M27" s="1667">
        <f t="shared" si="3"/>
        <v>0</v>
      </c>
      <c r="N27" s="400"/>
      <c r="O27" s="402">
        <f t="shared" si="4"/>
        <v>0</v>
      </c>
      <c r="P27" s="400"/>
      <c r="Q27" s="402">
        <f t="shared" si="5"/>
        <v>0</v>
      </c>
      <c r="R27" s="400"/>
      <c r="S27" s="402">
        <f t="shared" si="6"/>
        <v>0</v>
      </c>
      <c r="T27" s="400"/>
      <c r="W27" s="274"/>
      <c r="X27" s="274"/>
    </row>
    <row r="28" spans="1:24">
      <c r="A28" s="406"/>
      <c r="B28" s="396" t="s">
        <v>933</v>
      </c>
      <c r="C28" s="399"/>
      <c r="D28" s="400"/>
      <c r="E28" s="246"/>
      <c r="F28" s="400"/>
      <c r="G28" s="401">
        <v>1461335</v>
      </c>
      <c r="H28" s="400"/>
      <c r="I28" s="1460"/>
      <c r="J28" s="400"/>
      <c r="K28" s="1667">
        <f t="shared" si="2"/>
        <v>0</v>
      </c>
      <c r="L28" s="400"/>
      <c r="M28" s="1667">
        <f t="shared" si="3"/>
        <v>0</v>
      </c>
      <c r="N28" s="400"/>
      <c r="O28" s="402">
        <f t="shared" si="4"/>
        <v>0</v>
      </c>
      <c r="P28" s="400"/>
      <c r="Q28" s="402">
        <f t="shared" si="5"/>
        <v>0</v>
      </c>
      <c r="R28" s="400"/>
      <c r="S28" s="402">
        <f t="shared" si="6"/>
        <v>0</v>
      </c>
      <c r="T28" s="400"/>
      <c r="W28" s="274"/>
      <c r="X28" s="274"/>
    </row>
    <row r="29" spans="1:24">
      <c r="A29" s="406"/>
      <c r="B29" s="396" t="s">
        <v>934</v>
      </c>
      <c r="C29" s="399"/>
      <c r="D29" s="400"/>
      <c r="E29" s="246"/>
      <c r="F29" s="400"/>
      <c r="G29" s="401">
        <v>397993</v>
      </c>
      <c r="H29" s="400"/>
      <c r="I29" s="1460"/>
      <c r="J29" s="400"/>
      <c r="K29" s="1667">
        <f t="shared" si="2"/>
        <v>0</v>
      </c>
      <c r="L29" s="400"/>
      <c r="M29" s="1667">
        <f t="shared" si="3"/>
        <v>0</v>
      </c>
      <c r="N29" s="400"/>
      <c r="O29" s="402">
        <f t="shared" si="4"/>
        <v>0</v>
      </c>
      <c r="P29" s="400"/>
      <c r="Q29" s="402">
        <f t="shared" si="5"/>
        <v>0</v>
      </c>
      <c r="R29" s="400"/>
      <c r="S29" s="402">
        <f t="shared" si="6"/>
        <v>0</v>
      </c>
      <c r="T29" s="400"/>
      <c r="W29" s="274"/>
      <c r="X29" s="274"/>
    </row>
    <row r="30" spans="1:24">
      <c r="A30" s="406"/>
      <c r="B30" s="396" t="s">
        <v>927</v>
      </c>
      <c r="C30" s="399"/>
      <c r="D30" s="400"/>
      <c r="E30" s="246"/>
      <c r="F30" s="400"/>
      <c r="G30" s="401">
        <v>214800</v>
      </c>
      <c r="H30" s="400"/>
      <c r="I30" s="1460"/>
      <c r="J30" s="400"/>
      <c r="K30" s="1667">
        <f t="shared" si="2"/>
        <v>0</v>
      </c>
      <c r="L30" s="400"/>
      <c r="M30" s="1667">
        <f t="shared" si="3"/>
        <v>0</v>
      </c>
      <c r="N30" s="400"/>
      <c r="O30" s="402">
        <f t="shared" si="4"/>
        <v>0</v>
      </c>
      <c r="P30" s="400"/>
      <c r="Q30" s="402">
        <f t="shared" si="5"/>
        <v>0</v>
      </c>
      <c r="R30" s="400"/>
      <c r="S30" s="402">
        <f t="shared" si="6"/>
        <v>0</v>
      </c>
      <c r="T30" s="400"/>
      <c r="W30" s="274"/>
      <c r="X30" s="274"/>
    </row>
    <row r="31" spans="1:24">
      <c r="A31" s="406"/>
      <c r="B31" s="396" t="s">
        <v>928</v>
      </c>
      <c r="C31" s="399"/>
      <c r="D31" s="400"/>
      <c r="E31" s="246"/>
      <c r="F31" s="400"/>
      <c r="G31" s="401">
        <v>1883582.6</v>
      </c>
      <c r="H31" s="400"/>
      <c r="I31" s="1460"/>
      <c r="J31" s="400"/>
      <c r="K31" s="1667">
        <f t="shared" si="2"/>
        <v>0</v>
      </c>
      <c r="L31" s="400"/>
      <c r="M31" s="1667">
        <f t="shared" si="3"/>
        <v>0</v>
      </c>
      <c r="N31" s="400"/>
      <c r="O31" s="402">
        <f t="shared" si="4"/>
        <v>0</v>
      </c>
      <c r="P31" s="400"/>
      <c r="Q31" s="402">
        <f t="shared" si="5"/>
        <v>0</v>
      </c>
      <c r="R31" s="400"/>
      <c r="S31" s="402">
        <f t="shared" si="6"/>
        <v>0</v>
      </c>
      <c r="T31" s="400"/>
      <c r="W31" s="274"/>
      <c r="X31" s="274"/>
    </row>
    <row r="32" spans="1:24">
      <c r="A32" s="406"/>
      <c r="B32" s="396" t="s">
        <v>929</v>
      </c>
      <c r="C32" s="399"/>
      <c r="D32" s="400"/>
      <c r="E32" s="246"/>
      <c r="F32" s="400"/>
      <c r="G32" s="401">
        <v>1158842</v>
      </c>
      <c r="H32" s="400"/>
      <c r="I32" s="1460"/>
      <c r="J32" s="400"/>
      <c r="K32" s="1667">
        <f t="shared" si="2"/>
        <v>0</v>
      </c>
      <c r="L32" s="400"/>
      <c r="M32" s="1667">
        <f t="shared" si="3"/>
        <v>0</v>
      </c>
      <c r="N32" s="400"/>
      <c r="O32" s="402">
        <f t="shared" si="4"/>
        <v>0</v>
      </c>
      <c r="P32" s="400"/>
      <c r="Q32" s="402">
        <f t="shared" si="5"/>
        <v>0</v>
      </c>
      <c r="R32" s="400"/>
      <c r="S32" s="402">
        <f t="shared" si="6"/>
        <v>0</v>
      </c>
      <c r="T32" s="400"/>
      <c r="W32" s="274"/>
      <c r="X32" s="274"/>
    </row>
    <row r="33" spans="1:24">
      <c r="A33" s="406"/>
      <c r="B33" s="396" t="s">
        <v>930</v>
      </c>
      <c r="C33" s="399"/>
      <c r="D33" s="400"/>
      <c r="E33" s="246"/>
      <c r="F33" s="400"/>
      <c r="G33" s="401">
        <v>4583503</v>
      </c>
      <c r="H33" s="400"/>
      <c r="I33" s="1460"/>
      <c r="J33" s="400"/>
      <c r="K33" s="1667">
        <f t="shared" si="2"/>
        <v>0</v>
      </c>
      <c r="L33" s="400"/>
      <c r="M33" s="1667">
        <f t="shared" si="3"/>
        <v>0</v>
      </c>
      <c r="N33" s="400"/>
      <c r="O33" s="402">
        <f t="shared" si="4"/>
        <v>0</v>
      </c>
      <c r="P33" s="400"/>
      <c r="Q33" s="402">
        <f t="shared" si="5"/>
        <v>0</v>
      </c>
      <c r="R33" s="400"/>
      <c r="S33" s="402">
        <f t="shared" si="6"/>
        <v>0</v>
      </c>
      <c r="T33" s="400"/>
      <c r="W33" s="274"/>
      <c r="X33" s="274"/>
    </row>
    <row r="34" spans="1:24">
      <c r="A34" s="406"/>
      <c r="B34" s="396" t="s">
        <v>931</v>
      </c>
      <c r="C34" s="399"/>
      <c r="D34" s="400"/>
      <c r="E34" s="246"/>
      <c r="F34" s="400"/>
      <c r="G34" s="401">
        <v>1092582</v>
      </c>
      <c r="H34" s="400"/>
      <c r="I34" s="1460"/>
      <c r="J34" s="400"/>
      <c r="K34" s="1667">
        <f t="shared" si="2"/>
        <v>0</v>
      </c>
      <c r="L34" s="400"/>
      <c r="M34" s="1667">
        <f t="shared" si="3"/>
        <v>0</v>
      </c>
      <c r="N34" s="400"/>
      <c r="O34" s="402">
        <f t="shared" si="4"/>
        <v>0</v>
      </c>
      <c r="P34" s="400"/>
      <c r="Q34" s="402">
        <f t="shared" si="5"/>
        <v>0</v>
      </c>
      <c r="R34" s="400"/>
      <c r="S34" s="402">
        <f t="shared" si="6"/>
        <v>0</v>
      </c>
      <c r="T34" s="400"/>
      <c r="W34" s="274"/>
      <c r="X34" s="274"/>
    </row>
    <row r="35" spans="1:24">
      <c r="A35" s="406"/>
      <c r="B35" s="396" t="s">
        <v>932</v>
      </c>
      <c r="C35" s="399"/>
      <c r="D35" s="400"/>
      <c r="E35" s="246"/>
      <c r="F35" s="400"/>
      <c r="G35" s="401">
        <v>1300891</v>
      </c>
      <c r="H35" s="400"/>
      <c r="I35" s="1460"/>
      <c r="J35" s="400"/>
      <c r="K35" s="1667">
        <f t="shared" si="2"/>
        <v>0</v>
      </c>
      <c r="L35" s="400"/>
      <c r="M35" s="1667">
        <f t="shared" si="3"/>
        <v>0</v>
      </c>
      <c r="N35" s="400"/>
      <c r="O35" s="402">
        <f t="shared" si="4"/>
        <v>0</v>
      </c>
      <c r="P35" s="400"/>
      <c r="Q35" s="402">
        <f t="shared" si="5"/>
        <v>0</v>
      </c>
      <c r="R35" s="400"/>
      <c r="S35" s="402">
        <f t="shared" si="6"/>
        <v>0</v>
      </c>
      <c r="T35" s="400"/>
      <c r="W35" s="274"/>
      <c r="X35" s="274"/>
    </row>
    <row r="36" spans="1:24" s="144" customFormat="1">
      <c r="A36" s="408" t="s">
        <v>51</v>
      </c>
      <c r="B36" s="404" t="s">
        <v>52</v>
      </c>
      <c r="C36" s="410">
        <f>SUM(C8:C35)</f>
        <v>115648309</v>
      </c>
      <c r="D36" s="409">
        <f ca="1">SUM(D8:D46)</f>
        <v>0.42642324958726274</v>
      </c>
      <c r="E36" s="410">
        <f>SUM(E8:E35)</f>
        <v>132163480</v>
      </c>
      <c r="F36" s="409">
        <f ca="1">SUM(F8:F46)</f>
        <v>0.41201174086394782</v>
      </c>
      <c r="G36" s="410">
        <f t="shared" ref="G36:T36" si="16">SUM(G8:G35)</f>
        <v>143654836.59999999</v>
      </c>
      <c r="H36" s="409">
        <f t="shared" si="16"/>
        <v>0.56906894825761567</v>
      </c>
      <c r="I36" s="1461">
        <f t="shared" si="16"/>
        <v>156992382</v>
      </c>
      <c r="J36" s="409">
        <f t="shared" si="16"/>
        <v>0.50734672135569492</v>
      </c>
      <c r="K36" s="159">
        <f t="shared" si="16"/>
        <v>145533810.81999999</v>
      </c>
      <c r="L36" s="409">
        <f t="shared" si="16"/>
        <v>0.50369247216709012</v>
      </c>
      <c r="M36" s="159">
        <f t="shared" si="16"/>
        <v>147594531.63639998</v>
      </c>
      <c r="N36" s="409">
        <f t="shared" si="16"/>
        <v>0.5034699664558473</v>
      </c>
      <c r="O36" s="159">
        <f t="shared" si="16"/>
        <v>150546422.26912802</v>
      </c>
      <c r="P36" s="409">
        <f>SUM(P8:P35)</f>
        <v>0.50455440183194789</v>
      </c>
      <c r="Q36" s="159">
        <f t="shared" si="16"/>
        <v>153557350.71451056</v>
      </c>
      <c r="R36" s="409">
        <f t="shared" si="16"/>
        <v>0.50578433233159759</v>
      </c>
      <c r="S36" s="159">
        <f t="shared" si="16"/>
        <v>156628497.7288008</v>
      </c>
      <c r="T36" s="409">
        <f t="shared" si="16"/>
        <v>0.50667336284046172</v>
      </c>
      <c r="W36" s="411">
        <f>E36/C36-1</f>
        <v>0.14280512307361115</v>
      </c>
      <c r="X36" s="411">
        <f>G36/E36-1</f>
        <v>8.6948047978155474E-2</v>
      </c>
    </row>
    <row r="37" spans="1:24">
      <c r="A37" s="412"/>
      <c r="B37" s="404" t="s">
        <v>873</v>
      </c>
      <c r="C37" s="394"/>
      <c r="D37" s="394"/>
      <c r="E37" s="230"/>
      <c r="F37" s="394"/>
      <c r="G37" s="395"/>
      <c r="H37" s="394"/>
      <c r="I37" s="1464"/>
      <c r="J37" s="413"/>
      <c r="K37" s="394"/>
      <c r="L37" s="414"/>
      <c r="M37" s="396"/>
      <c r="N37" s="394"/>
      <c r="O37" s="394"/>
      <c r="P37" s="394"/>
      <c r="Q37" s="394"/>
      <c r="R37" s="394"/>
      <c r="S37" s="394"/>
      <c r="T37" s="397"/>
      <c r="W37" s="274"/>
      <c r="X37" s="274"/>
    </row>
    <row r="38" spans="1:24" s="1794" customFormat="1">
      <c r="A38" s="1790"/>
      <c r="B38" s="1678" t="s">
        <v>1059</v>
      </c>
      <c r="C38" s="1683">
        <f>'Kakamega Financials'!B46</f>
        <v>978500</v>
      </c>
      <c r="D38" s="1789">
        <f>C38/$C$83</f>
        <v>4.6981096525637242E-3</v>
      </c>
      <c r="E38" s="1683">
        <f>'Kakamega Financials'!C46</f>
        <v>1104859</v>
      </c>
      <c r="F38" s="1789">
        <f>E38/$E$83</f>
        <v>4.4723489688904021E-3</v>
      </c>
      <c r="G38" s="1683">
        <f>'Kakamega Financials'!D46</f>
        <v>1286637</v>
      </c>
      <c r="H38" s="1789">
        <f>G38/$G$83</f>
        <v>5.5653533360988938E-3</v>
      </c>
      <c r="I38" s="1791">
        <f>'Asset Maintenance '!V7</f>
        <v>333900</v>
      </c>
      <c r="J38" s="1789">
        <f>I38/$I$83</f>
        <v>1.1475479293473543E-3</v>
      </c>
      <c r="K38" s="1792">
        <f>'Asset Maintenance '!W7</f>
        <v>337239</v>
      </c>
      <c r="L38" s="1789">
        <f>K38/$K$83</f>
        <v>1.1671840699014637E-3</v>
      </c>
      <c r="M38" s="1792">
        <f>'Asset Maintenance '!X7</f>
        <v>340611.39</v>
      </c>
      <c r="N38" s="1789">
        <f>M38/$M$83</f>
        <v>1.1618831890075729E-3</v>
      </c>
      <c r="O38" s="1792">
        <f>'Asset Maintenance '!Y7</f>
        <v>344017.50390000001</v>
      </c>
      <c r="P38" s="1789">
        <f>O38/$O$83</f>
        <v>1.1529702485369444E-3</v>
      </c>
      <c r="Q38" s="1792">
        <f>'Asset Maintenance '!Z7</f>
        <v>347457.678939</v>
      </c>
      <c r="R38" s="1789">
        <f>Q38/$Q$83</f>
        <v>1.1444496101158774E-3</v>
      </c>
      <c r="S38" s="1792">
        <f>'Asset Maintenance '!AA7</f>
        <v>350932.25572839001</v>
      </c>
      <c r="T38" s="1789">
        <f>S38/$S$83</f>
        <v>1.1352214234153189E-3</v>
      </c>
      <c r="U38" s="1871" t="s">
        <v>1008</v>
      </c>
      <c r="V38" s="1872"/>
      <c r="W38" s="1793"/>
      <c r="X38" s="1793"/>
    </row>
    <row r="39" spans="1:24" s="1794" customFormat="1">
      <c r="A39" s="1790"/>
      <c r="B39" s="1678" t="s">
        <v>1060</v>
      </c>
      <c r="C39" s="1683">
        <f>'Kakamega Financials'!B47</f>
        <v>3726283</v>
      </c>
      <c r="D39" s="1789">
        <f>C39/$C$83</f>
        <v>1.7891145764419122E-2</v>
      </c>
      <c r="E39" s="1683">
        <f>'Kakamega Financials'!C47</f>
        <v>4075692</v>
      </c>
      <c r="F39" s="1789">
        <f>E39/$E$83</f>
        <v>1.6497957579849429E-2</v>
      </c>
      <c r="G39" s="1683">
        <f>'Kakamega Financials'!D47</f>
        <v>1308368</v>
      </c>
      <c r="H39" s="1789">
        <f>G39/$G$83</f>
        <v>5.6593508609227286E-3</v>
      </c>
      <c r="I39" s="1791">
        <f>'Asset Maintenance '!V8</f>
        <v>1274031</v>
      </c>
      <c r="J39" s="1789">
        <f>I39/$I$83</f>
        <v>4.3785913027084133E-3</v>
      </c>
      <c r="K39" s="1792">
        <f>'Asset Maintenance '!W8</f>
        <v>1286771.31</v>
      </c>
      <c r="L39" s="1789">
        <f>K39/$K$83</f>
        <v>4.4535150876329191E-3</v>
      </c>
      <c r="M39" s="1792">
        <f>'Asset Maintenance '!X8</f>
        <v>1299639.0231000001</v>
      </c>
      <c r="N39" s="1789">
        <f>M39/$M$83</f>
        <v>4.433289012202777E-3</v>
      </c>
      <c r="O39" s="1792">
        <f>'Asset Maintenance '!Y8</f>
        <v>1312635.4133310001</v>
      </c>
      <c r="P39" s="1789">
        <f>O39/$O$83</f>
        <v>4.399280738885211E-3</v>
      </c>
      <c r="Q39" s="1792">
        <f>'Asset Maintenance '!Z8</f>
        <v>1325761.7674643102</v>
      </c>
      <c r="R39" s="1789">
        <f>Q39/$Q$83</f>
        <v>4.3667693358057551E-3</v>
      </c>
      <c r="S39" s="1792">
        <f>'Asset Maintenance '!AA8</f>
        <v>1339019.3851389533</v>
      </c>
      <c r="T39" s="1789">
        <f>S39/$S$83</f>
        <v>4.3315582069339388E-3</v>
      </c>
      <c r="U39" s="1871"/>
      <c r="V39" s="1872"/>
      <c r="W39" s="1793"/>
      <c r="X39" s="1793"/>
    </row>
    <row r="40" spans="1:24" s="1794" customFormat="1">
      <c r="A40" s="1790"/>
      <c r="B40" s="1678" t="s">
        <v>1061</v>
      </c>
      <c r="C40" s="1683">
        <f>'Kakamega Financials'!B49</f>
        <v>11753442</v>
      </c>
      <c r="D40" s="1789">
        <f>C40/$C$83</f>
        <v>5.6432252745066816E-2</v>
      </c>
      <c r="E40" s="1683">
        <f>'Kakamega Financials'!C49</f>
        <v>12926449</v>
      </c>
      <c r="F40" s="1789">
        <f>E40/$E$83</f>
        <v>5.2324858517298921E-2</v>
      </c>
      <c r="G40" s="1683">
        <f>'Kakamega Financials'!D49</f>
        <v>6311831</v>
      </c>
      <c r="H40" s="1789">
        <f>G40/$G$83</f>
        <v>2.7301849482598756E-2</v>
      </c>
      <c r="I40" s="1791">
        <f>'Asset Maintenance '!V35</f>
        <v>40239518</v>
      </c>
      <c r="J40" s="1789">
        <f>I40/$I$83</f>
        <v>0.13829522479435638</v>
      </c>
      <c r="K40" s="1792">
        <f>'Asset Maintenance '!W35</f>
        <v>40641913.18</v>
      </c>
      <c r="L40" s="1789">
        <f>K40/$K$83</f>
        <v>0.14066164836811382</v>
      </c>
      <c r="M40" s="1792">
        <f>'Asset Maintenance '!X35</f>
        <v>41048332.311799996</v>
      </c>
      <c r="N40" s="1789">
        <f>M40/$M$83</f>
        <v>0.14002281970041219</v>
      </c>
      <c r="O40" s="1792">
        <f>'Asset Maintenance '!Y35</f>
        <v>41458815.634917989</v>
      </c>
      <c r="P40" s="1789">
        <f>O40/$O$83</f>
        <v>0.1389486884380558</v>
      </c>
      <c r="Q40" s="1792">
        <f>'Asset Maintenance '!Z35</f>
        <v>41873403.791267179</v>
      </c>
      <c r="R40" s="1789">
        <f>Q40/$Q$83</f>
        <v>0.13792183493965507</v>
      </c>
      <c r="S40" s="1792">
        <f>'Asset Maintenance '!AA35</f>
        <v>42292137.829179861</v>
      </c>
      <c r="T40" s="1789">
        <f>S40/$S$83</f>
        <v>0.13680971219378962</v>
      </c>
      <c r="U40" s="1871"/>
      <c r="V40" s="1872"/>
      <c r="W40" s="1793"/>
      <c r="X40" s="1793"/>
    </row>
    <row r="41" spans="1:24">
      <c r="A41" s="408" t="s">
        <v>55</v>
      </c>
      <c r="B41" s="404" t="s">
        <v>874</v>
      </c>
      <c r="C41" s="159">
        <f t="shared" ref="C41:T41" si="17">SUM(C38:C40)</f>
        <v>16458225</v>
      </c>
      <c r="D41" s="409">
        <f t="shared" si="17"/>
        <v>7.902150816204967E-2</v>
      </c>
      <c r="E41" s="159">
        <f t="shared" si="17"/>
        <v>18107000</v>
      </c>
      <c r="F41" s="409">
        <f t="shared" si="17"/>
        <v>7.3295165066038753E-2</v>
      </c>
      <c r="G41" s="159">
        <f t="shared" si="17"/>
        <v>8906836</v>
      </c>
      <c r="H41" s="409">
        <f t="shared" si="17"/>
        <v>3.8526553679620379E-2</v>
      </c>
      <c r="I41" s="1463">
        <f t="shared" si="17"/>
        <v>41847449</v>
      </c>
      <c r="J41" s="409">
        <f t="shared" si="17"/>
        <v>0.14382136402641216</v>
      </c>
      <c r="K41" s="1456">
        <f t="shared" si="17"/>
        <v>42265923.490000002</v>
      </c>
      <c r="L41" s="409">
        <f t="shared" si="17"/>
        <v>0.1462823475256482</v>
      </c>
      <c r="M41" s="1456">
        <f t="shared" si="17"/>
        <v>42688582.724899992</v>
      </c>
      <c r="N41" s="409">
        <f t="shared" si="17"/>
        <v>0.14561799190162256</v>
      </c>
      <c r="O41" s="1456">
        <f t="shared" si="17"/>
        <v>43115468.55214899</v>
      </c>
      <c r="P41" s="409">
        <f t="shared" si="17"/>
        <v>0.14450093942547795</v>
      </c>
      <c r="Q41" s="1456">
        <f>SUM(Q38:Q40)</f>
        <v>43546623.237670489</v>
      </c>
      <c r="R41" s="409">
        <f t="shared" si="17"/>
        <v>0.1434330538855767</v>
      </c>
      <c r="S41" s="1456">
        <f t="shared" si="17"/>
        <v>43982089.470047206</v>
      </c>
      <c r="T41" s="409">
        <f t="shared" si="17"/>
        <v>0.14227649182413887</v>
      </c>
      <c r="U41" s="1871"/>
      <c r="V41" s="1872"/>
      <c r="W41" s="274"/>
      <c r="X41" s="274"/>
    </row>
    <row r="42" spans="1:24">
      <c r="A42" s="412"/>
      <c r="B42" s="404" t="s">
        <v>468</v>
      </c>
      <c r="C42" s="394"/>
      <c r="D42" s="394"/>
      <c r="E42" s="395"/>
      <c r="F42" s="394"/>
      <c r="G42" s="395"/>
      <c r="H42" s="394"/>
      <c r="I42" s="1459"/>
      <c r="J42" s="394"/>
      <c r="K42" s="394"/>
      <c r="L42" s="394"/>
      <c r="M42" s="396"/>
      <c r="N42" s="394"/>
      <c r="O42" s="394"/>
      <c r="P42" s="394"/>
      <c r="Q42" s="394"/>
      <c r="R42" s="394"/>
      <c r="S42" s="394"/>
      <c r="T42" s="397"/>
      <c r="W42" s="274"/>
      <c r="X42" s="274"/>
    </row>
    <row r="43" spans="1:24">
      <c r="A43" s="412"/>
      <c r="B43" s="415" t="str">
        <f>'Kakamega Financials'!A52</f>
        <v>Postage, Telephone and Internet</v>
      </c>
      <c r="C43" s="399">
        <f>'Kakamega Financials'!B52</f>
        <v>1129558</v>
      </c>
      <c r="D43" s="400">
        <f>C43/$C$83</f>
        <v>5.4233902329387587E-3</v>
      </c>
      <c r="E43" s="246">
        <f>'Kakamega Financials'!C52</f>
        <v>1369378</v>
      </c>
      <c r="F43" s="400">
        <f t="shared" ref="F43:F67" si="18">E43/$E$83</f>
        <v>5.543093088187E-3</v>
      </c>
      <c r="G43" s="230">
        <f>'Kakamega Financials'!D52</f>
        <v>2980496</v>
      </c>
      <c r="H43" s="400">
        <f t="shared" ref="H43:H67" si="19">G43/$G$83</f>
        <v>1.2892147013360729E-2</v>
      </c>
      <c r="I43" s="1464">
        <f>'Kakamega Financials'!E52</f>
        <v>3168021</v>
      </c>
      <c r="J43" s="400">
        <f t="shared" ref="J43:J67" si="20">I43/$I$83</f>
        <v>1.0887858456660482E-2</v>
      </c>
      <c r="K43" s="399">
        <f>I43*1.02</f>
        <v>3231381.42</v>
      </c>
      <c r="L43" s="400">
        <f t="shared" ref="L43:L67" si="21">K43/$K$83</f>
        <v>1.1183810049251631E-2</v>
      </c>
      <c r="M43" s="399">
        <f>K43*1.02</f>
        <v>3296009.0484000002</v>
      </c>
      <c r="N43" s="400">
        <f t="shared" ref="N43:N67" si="22">M43/$M$83</f>
        <v>1.1243245577174646E-2</v>
      </c>
      <c r="O43" s="399">
        <f>M43*1.02</f>
        <v>3361929.2293680003</v>
      </c>
      <c r="P43" s="400">
        <f t="shared" ref="P43:P67" si="23">O43/$O$83</f>
        <v>1.1267462658745375E-2</v>
      </c>
      <c r="Q43" s="399">
        <f>O43*1.02</f>
        <v>3429167.8139553606</v>
      </c>
      <c r="R43" s="400">
        <f t="shared" ref="R43:R67" si="24">Q43/$Q$83</f>
        <v>1.1294928866407695E-2</v>
      </c>
      <c r="S43" s="399">
        <f>Q43*1.02</f>
        <v>3497751.1702344678</v>
      </c>
      <c r="T43" s="400">
        <f t="shared" ref="T43:T67" si="25">S43/$S$83</f>
        <v>1.1314782261848786E-2</v>
      </c>
      <c r="W43" s="274">
        <f t="shared" ref="W43:W68" si="26">E43/C43-1</f>
        <v>0.21231313487222425</v>
      </c>
      <c r="X43" s="274">
        <f t="shared" ref="X43:X68" si="27">G43/E43-1</f>
        <v>1.1765327031688839</v>
      </c>
    </row>
    <row r="44" spans="1:24" s="1675" customFormat="1">
      <c r="A44" s="1681"/>
      <c r="B44" s="1678" t="str">
        <f>'Kakamega Financials'!A36</f>
        <v>Staff Training Expense</v>
      </c>
      <c r="C44" s="1671">
        <f>'Kakamega Financials'!B36</f>
        <v>537876</v>
      </c>
      <c r="D44" s="1672">
        <f>C26/$C$83</f>
        <v>0</v>
      </c>
      <c r="E44" s="1673">
        <f>'Kakamega Financials'!C36</f>
        <v>1006325</v>
      </c>
      <c r="F44" s="1672">
        <f t="shared" si="18"/>
        <v>4.0734940622456205E-3</v>
      </c>
      <c r="G44" s="1674">
        <f>'Kakamega Financials'!D36</f>
        <v>973560</v>
      </c>
      <c r="H44" s="1672">
        <f t="shared" si="19"/>
        <v>4.2111375577512837E-3</v>
      </c>
      <c r="I44" s="1674">
        <f>'Kakamega Financials'!E36</f>
        <v>1155180</v>
      </c>
      <c r="J44" s="1672">
        <f t="shared" si="20"/>
        <v>3.9701240402020867E-3</v>
      </c>
      <c r="K44" s="399">
        <f>I44*1.02</f>
        <v>1178283.6000000001</v>
      </c>
      <c r="L44" s="1672">
        <f t="shared" si="21"/>
        <v>4.0780391584192468E-3</v>
      </c>
      <c r="M44" s="399">
        <f>K44*1.02</f>
        <v>1201849.2720000001</v>
      </c>
      <c r="N44" s="1672">
        <f t="shared" si="22"/>
        <v>4.0997115946644945E-3</v>
      </c>
      <c r="O44" s="399">
        <f>M44*1.02</f>
        <v>1225886.2574400001</v>
      </c>
      <c r="P44" s="1672">
        <f t="shared" si="23"/>
        <v>4.108542056422442E-3</v>
      </c>
      <c r="Q44" s="399">
        <f>O44*1.02</f>
        <v>1250403.9825888001</v>
      </c>
      <c r="R44" s="1672">
        <f t="shared" si="24"/>
        <v>4.1185572721572361E-3</v>
      </c>
      <c r="S44" s="399">
        <f t="shared" ref="S44:S46" si="28">Q44*1.03</f>
        <v>1287916.1020664643</v>
      </c>
      <c r="T44" s="1672">
        <f t="shared" si="25"/>
        <v>4.1662455552646449E-3</v>
      </c>
      <c r="U44" s="1675" t="s">
        <v>1007</v>
      </c>
      <c r="W44" s="1679"/>
      <c r="X44" s="1679"/>
    </row>
    <row r="45" spans="1:24" s="1675" customFormat="1">
      <c r="A45" s="1681"/>
      <c r="B45" s="1678" t="str">
        <f>'Kakamega Financials'!A37</f>
        <v>Funeral Expense</v>
      </c>
      <c r="C45" s="1671">
        <f>'Kakamega Financials'!B37</f>
        <v>116000</v>
      </c>
      <c r="D45" s="1672">
        <f>C44/$C$83</f>
        <v>2.5825247087198425E-3</v>
      </c>
      <c r="E45" s="1673">
        <f>'Kakamega Financials'!C37</f>
        <v>130000</v>
      </c>
      <c r="F45" s="1672">
        <f t="shared" si="18"/>
        <v>5.2622584959325334E-4</v>
      </c>
      <c r="G45" s="1674">
        <f>'Kakamega Financials'!D37</f>
        <v>1015000</v>
      </c>
      <c r="H45" s="1672">
        <f t="shared" si="19"/>
        <v>4.3903864385528915E-3</v>
      </c>
      <c r="I45" s="1674">
        <f>'Kakamega Financials'!E37</f>
        <v>737580</v>
      </c>
      <c r="J45" s="1672">
        <f t="shared" si="20"/>
        <v>2.5349158482420534E-3</v>
      </c>
      <c r="K45" s="399">
        <f>I45*1.02</f>
        <v>752331.6</v>
      </c>
      <c r="L45" s="1672">
        <f t="shared" si="21"/>
        <v>2.6038194242168906E-3</v>
      </c>
      <c r="M45" s="399">
        <f>K45*1.02</f>
        <v>767378.23199999996</v>
      </c>
      <c r="N45" s="1672">
        <f t="shared" si="22"/>
        <v>2.6176572291700317E-3</v>
      </c>
      <c r="O45" s="399">
        <f>M45*1.02</f>
        <v>782725.79663999996</v>
      </c>
      <c r="P45" s="1672">
        <f t="shared" si="23"/>
        <v>2.623295460427002E-3</v>
      </c>
      <c r="Q45" s="399">
        <f>O45*1.02</f>
        <v>798380.31257279997</v>
      </c>
      <c r="R45" s="1672">
        <f t="shared" si="24"/>
        <v>2.6296901546059783E-3</v>
      </c>
      <c r="S45" s="399">
        <f t="shared" si="28"/>
        <v>822331.72194998397</v>
      </c>
      <c r="T45" s="1672">
        <f t="shared" si="25"/>
        <v>2.660139023054499E-3</v>
      </c>
      <c r="U45" s="1675" t="s">
        <v>1007</v>
      </c>
      <c r="W45" s="1679"/>
      <c r="X45" s="1679"/>
    </row>
    <row r="46" spans="1:24" s="1675" customFormat="1">
      <c r="A46" s="1681"/>
      <c r="B46" s="1678" t="str">
        <f>'Kakamega Financials'!A38</f>
        <v>Games&amp; Sports</v>
      </c>
      <c r="C46" s="1671">
        <f>'Kakamega Financials'!B38</f>
        <v>834130</v>
      </c>
      <c r="D46" s="1672">
        <f>C45/$C$83</f>
        <v>5.5695525773877567E-4</v>
      </c>
      <c r="E46" s="1673">
        <f>'Kakamega Financials'!C38</f>
        <v>45200</v>
      </c>
      <c r="F46" s="1672">
        <f t="shared" si="18"/>
        <v>1.8296468001242346E-4</v>
      </c>
      <c r="G46" s="1674">
        <f>'Kakamega Financials'!D38</f>
        <v>332000</v>
      </c>
      <c r="H46" s="1672">
        <f t="shared" si="19"/>
        <v>1.4360672882754286E-3</v>
      </c>
      <c r="I46" s="1674">
        <f>'Kakamega Financials'!E38</f>
        <v>0</v>
      </c>
      <c r="J46" s="1672">
        <f t="shared" si="20"/>
        <v>0</v>
      </c>
      <c r="K46" s="399">
        <f t="shared" ref="K46" si="29">I46*1.03</f>
        <v>0</v>
      </c>
      <c r="L46" s="1672">
        <f t="shared" si="21"/>
        <v>0</v>
      </c>
      <c r="M46" s="399">
        <f t="shared" ref="M46" si="30">K46*1.03</f>
        <v>0</v>
      </c>
      <c r="N46" s="1672">
        <f t="shared" si="22"/>
        <v>0</v>
      </c>
      <c r="O46" s="399">
        <f t="shared" ref="O46" si="31">M46*1.03</f>
        <v>0</v>
      </c>
      <c r="P46" s="1672">
        <f t="shared" si="23"/>
        <v>0</v>
      </c>
      <c r="Q46" s="399">
        <f t="shared" ref="Q46" si="32">O46*1.03</f>
        <v>0</v>
      </c>
      <c r="R46" s="1672">
        <f t="shared" si="24"/>
        <v>0</v>
      </c>
      <c r="S46" s="399">
        <f t="shared" si="28"/>
        <v>0</v>
      </c>
      <c r="T46" s="1672">
        <f t="shared" si="25"/>
        <v>0</v>
      </c>
      <c r="U46" s="1675" t="s">
        <v>1007</v>
      </c>
      <c r="W46" s="1679"/>
      <c r="X46" s="1679"/>
    </row>
    <row r="47" spans="1:24">
      <c r="A47" s="1847" t="s">
        <v>1112</v>
      </c>
      <c r="B47" s="415" t="str">
        <f>'Kakamega Financials'!A53</f>
        <v>Transportation, travelling and Subsistence</v>
      </c>
      <c r="C47" s="399">
        <f>'Kakamega Financials'!B53</f>
        <v>10334689</v>
      </c>
      <c r="D47" s="400">
        <f t="shared" ref="D47:D67" si="33">C47/$C$83</f>
        <v>4.9620339445216294E-2</v>
      </c>
      <c r="E47" s="246">
        <f>'Kakamega Financials'!C53</f>
        <v>8164445</v>
      </c>
      <c r="F47" s="400">
        <f t="shared" si="18"/>
        <v>3.3048784666018377E-2</v>
      </c>
      <c r="G47" s="230">
        <f>'Kakamega Financials'!D53</f>
        <v>7686711</v>
      </c>
      <c r="H47" s="400">
        <f t="shared" si="19"/>
        <v>3.3248898257611167E-2</v>
      </c>
      <c r="I47" s="1464">
        <f>'Kakamega Financials'!E53</f>
        <v>9845312</v>
      </c>
      <c r="J47" s="400">
        <f t="shared" si="20"/>
        <v>3.3836380351538367E-2</v>
      </c>
      <c r="K47" s="399">
        <f>I47*1.02</f>
        <v>10042218.24</v>
      </c>
      <c r="L47" s="400">
        <f t="shared" si="21"/>
        <v>3.4756114079931184E-2</v>
      </c>
      <c r="M47" s="399">
        <f>K47*1.02</f>
        <v>10243062.604800001</v>
      </c>
      <c r="N47" s="400">
        <f t="shared" si="22"/>
        <v>3.4940822866989976E-2</v>
      </c>
      <c r="O47" s="399">
        <f>M47*1.02</f>
        <v>10447923.856896002</v>
      </c>
      <c r="P47" s="400">
        <f t="shared" si="23"/>
        <v>3.5016082697588727E-2</v>
      </c>
      <c r="Q47" s="399">
        <f>O47*1.02</f>
        <v>10656882.334033921</v>
      </c>
      <c r="R47" s="400">
        <f t="shared" si="24"/>
        <v>3.5101439891841016E-2</v>
      </c>
      <c r="S47" s="399">
        <f>Q47*1.02</f>
        <v>10870019.980714601</v>
      </c>
      <c r="T47" s="400">
        <f t="shared" si="25"/>
        <v>3.5163138621861094E-2</v>
      </c>
      <c r="W47" s="274">
        <f t="shared" si="26"/>
        <v>-0.20999606277460303</v>
      </c>
      <c r="X47" s="274">
        <f t="shared" si="27"/>
        <v>-5.8513959001499805E-2</v>
      </c>
    </row>
    <row r="48" spans="1:24">
      <c r="A48" s="412"/>
      <c r="B48" s="415" t="str">
        <f>'Kakamega Financials'!A54</f>
        <v>Printing, Stationery, Newspapers</v>
      </c>
      <c r="C48" s="399">
        <f>'Kakamega Financials'!B54</f>
        <v>1103180</v>
      </c>
      <c r="D48" s="400">
        <f t="shared" si="33"/>
        <v>5.2967405278643324E-3</v>
      </c>
      <c r="E48" s="246">
        <f>'Kakamega Financials'!C54</f>
        <v>1764070</v>
      </c>
      <c r="F48" s="400">
        <f t="shared" si="18"/>
        <v>7.1407633422459257E-3</v>
      </c>
      <c r="G48" s="230">
        <f>'Kakamega Financials'!D54</f>
        <v>2345630</v>
      </c>
      <c r="H48" s="400">
        <f t="shared" si="19"/>
        <v>1.014603166685992E-2</v>
      </c>
      <c r="I48" s="1464">
        <f>'Kakamega Financials'!E54</f>
        <v>2401968</v>
      </c>
      <c r="J48" s="400">
        <f t="shared" si="20"/>
        <v>8.2550865671117291E-3</v>
      </c>
      <c r="K48" s="399">
        <f>I48*1.02</f>
        <v>2450007.36</v>
      </c>
      <c r="L48" s="400">
        <f t="shared" si="21"/>
        <v>8.4794746803701238E-3</v>
      </c>
      <c r="M48" s="399">
        <f t="shared" ref="M48:M67" si="34">K48*1.02</f>
        <v>2499007.5071999999</v>
      </c>
      <c r="N48" s="400">
        <f t="shared" si="22"/>
        <v>8.5245382188170547E-3</v>
      </c>
      <c r="O48" s="399">
        <f t="shared" ref="O48:O67" si="35">M48*1.02</f>
        <v>2548987.6573439999</v>
      </c>
      <c r="P48" s="400">
        <f t="shared" si="23"/>
        <v>8.5428994149664116E-3</v>
      </c>
      <c r="Q48" s="399">
        <f t="shared" ref="Q48:Q67" si="36">O48*1.02</f>
        <v>2599967.4104908798</v>
      </c>
      <c r="R48" s="400">
        <f t="shared" si="24"/>
        <v>8.563724072342814E-3</v>
      </c>
      <c r="S48" s="399">
        <f t="shared" ref="S48:S67" si="37">Q48*1.02</f>
        <v>2651966.7587006972</v>
      </c>
      <c r="T48" s="400">
        <f t="shared" si="25"/>
        <v>8.5787767568233919E-3</v>
      </c>
      <c r="W48" s="274">
        <f t="shared" si="26"/>
        <v>0.59907721314744644</v>
      </c>
      <c r="X48" s="274">
        <f t="shared" si="27"/>
        <v>0.3296694575612078</v>
      </c>
    </row>
    <row r="49" spans="1:24">
      <c r="A49" s="412"/>
      <c r="B49" s="415" t="str">
        <f>'Kakamega Financials'!A55</f>
        <v>Security Services</v>
      </c>
      <c r="C49" s="399">
        <f>'Kakamega Financials'!B55</f>
        <v>8176840</v>
      </c>
      <c r="D49" s="400">
        <f t="shared" si="33"/>
        <v>3.9259776118006295E-2</v>
      </c>
      <c r="E49" s="246">
        <f>'Kakamega Financials'!C55</f>
        <v>8376032</v>
      </c>
      <c r="F49" s="400">
        <f t="shared" si="18"/>
        <v>3.3905265810925206E-2</v>
      </c>
      <c r="G49" s="230">
        <f>'Kakamega Financials'!D55</f>
        <v>7854400</v>
      </c>
      <c r="H49" s="400">
        <f t="shared" si="19"/>
        <v>3.397423767780279E-2</v>
      </c>
      <c r="I49" s="1464">
        <f>'Kakamega Financials'!E55</f>
        <v>4937379</v>
      </c>
      <c r="J49" s="400">
        <f t="shared" si="20"/>
        <v>1.696879020021896E-2</v>
      </c>
      <c r="K49" s="399">
        <f t="shared" ref="K49:K66" si="38">I49*1.02</f>
        <v>5036126.58</v>
      </c>
      <c r="L49" s="400">
        <f t="shared" si="21"/>
        <v>1.7430032464167369E-2</v>
      </c>
      <c r="M49" s="399">
        <f t="shared" si="34"/>
        <v>5136849.1116000004</v>
      </c>
      <c r="N49" s="400">
        <f t="shared" si="22"/>
        <v>1.7522663077228644E-2</v>
      </c>
      <c r="O49" s="399">
        <f t="shared" si="35"/>
        <v>5239586.0938320002</v>
      </c>
      <c r="P49" s="400">
        <f t="shared" si="23"/>
        <v>1.7560405538528178E-2</v>
      </c>
      <c r="Q49" s="399">
        <f t="shared" si="36"/>
        <v>5344377.81570864</v>
      </c>
      <c r="R49" s="400">
        <f t="shared" si="24"/>
        <v>1.7603211781580724E-2</v>
      </c>
      <c r="S49" s="399">
        <f t="shared" si="37"/>
        <v>5451265.3720228132</v>
      </c>
      <c r="T49" s="400">
        <f t="shared" si="25"/>
        <v>1.7634153412879744E-2</v>
      </c>
      <c r="W49" s="274">
        <f t="shared" si="26"/>
        <v>2.4360510906413779E-2</v>
      </c>
      <c r="X49" s="274">
        <f t="shared" si="27"/>
        <v>-6.2276743928389999E-2</v>
      </c>
    </row>
    <row r="50" spans="1:24">
      <c r="A50" s="412"/>
      <c r="B50" s="415" t="str">
        <f>'Kakamega Financials'!A56</f>
        <v>Fuel</v>
      </c>
      <c r="C50" s="399">
        <f>'Kakamega Financials'!B56</f>
        <v>2857766</v>
      </c>
      <c r="D50" s="400">
        <f t="shared" si="33"/>
        <v>1.372110171626819E-2</v>
      </c>
      <c r="E50" s="246">
        <f>'Kakamega Financials'!C56</f>
        <v>4489631</v>
      </c>
      <c r="F50" s="400">
        <f t="shared" si="18"/>
        <v>1.8173537594886213E-2</v>
      </c>
      <c r="G50" s="230">
        <f>'Kakamega Financials'!D56</f>
        <v>4009965</v>
      </c>
      <c r="H50" s="400">
        <f t="shared" si="19"/>
        <v>1.7345119167558369E-2</v>
      </c>
      <c r="I50" s="1464">
        <f>'Kakamega Financials'!E56</f>
        <v>4258250</v>
      </c>
      <c r="J50" s="400">
        <f t="shared" si="20"/>
        <v>1.4634758820435375E-2</v>
      </c>
      <c r="K50" s="399">
        <f t="shared" si="38"/>
        <v>4343415</v>
      </c>
      <c r="L50" s="400">
        <f t="shared" si="21"/>
        <v>1.5032557909883096E-2</v>
      </c>
      <c r="M50" s="399">
        <f t="shared" si="34"/>
        <v>4430283.3</v>
      </c>
      <c r="N50" s="400">
        <f t="shared" si="22"/>
        <v>1.5112447322477953E-2</v>
      </c>
      <c r="O50" s="399">
        <f t="shared" si="35"/>
        <v>4518888.966</v>
      </c>
      <c r="P50" s="400">
        <f t="shared" si="23"/>
        <v>1.5144998365415661E-2</v>
      </c>
      <c r="Q50" s="399">
        <f t="shared" si="36"/>
        <v>4609266.7453199998</v>
      </c>
      <c r="R50" s="400">
        <f t="shared" si="24"/>
        <v>1.5181916674599239E-2</v>
      </c>
      <c r="S50" s="399">
        <f t="shared" si="37"/>
        <v>4701452.0802263999</v>
      </c>
      <c r="T50" s="400">
        <f t="shared" si="25"/>
        <v>1.5208602331397926E-2</v>
      </c>
      <c r="W50" s="274">
        <f t="shared" si="26"/>
        <v>0.57102820874767213</v>
      </c>
      <c r="X50" s="274">
        <f t="shared" si="27"/>
        <v>-0.10683862437692537</v>
      </c>
    </row>
    <row r="51" spans="1:24">
      <c r="A51" s="412"/>
      <c r="B51" s="415" t="str">
        <f>'Kakamega Financials'!A57</f>
        <v>Lab Reagents</v>
      </c>
      <c r="C51" s="399">
        <f>'Kakamega Financials'!B57</f>
        <v>24000</v>
      </c>
      <c r="D51" s="400">
        <f t="shared" si="33"/>
        <v>1.1523212229078118E-4</v>
      </c>
      <c r="E51" s="246">
        <f>'Kakamega Financials'!C57</f>
        <v>32453</v>
      </c>
      <c r="F51" s="400">
        <f t="shared" si="18"/>
        <v>1.3136621151422961E-4</v>
      </c>
      <c r="G51" s="230">
        <f>'Kakamega Financials'!D57</f>
        <v>71600</v>
      </c>
      <c r="H51" s="400">
        <f t="shared" si="19"/>
        <v>3.0970607783289365E-4</v>
      </c>
      <c r="I51" s="1464">
        <f>'Kakamega Financials'!E57</f>
        <v>109111</v>
      </c>
      <c r="J51" s="400">
        <f t="shared" si="20"/>
        <v>3.7499281856549619E-4</v>
      </c>
      <c r="K51" s="399">
        <f t="shared" si="38"/>
        <v>111293.22</v>
      </c>
      <c r="L51" s="400">
        <f t="shared" si="21"/>
        <v>3.8518579841607573E-4</v>
      </c>
      <c r="M51" s="399">
        <f t="shared" si="34"/>
        <v>113519.08440000001</v>
      </c>
      <c r="N51" s="400">
        <f t="shared" si="22"/>
        <v>3.8723283973531193E-4</v>
      </c>
      <c r="O51" s="399">
        <f t="shared" si="35"/>
        <v>115789.46608800002</v>
      </c>
      <c r="P51" s="400">
        <f t="shared" si="23"/>
        <v>3.8806690932868392E-4</v>
      </c>
      <c r="Q51" s="399">
        <f t="shared" si="36"/>
        <v>118105.25540976002</v>
      </c>
      <c r="R51" s="400">
        <f t="shared" si="24"/>
        <v>3.8901288329294849E-4</v>
      </c>
      <c r="S51" s="399">
        <f t="shared" si="37"/>
        <v>120467.36051795523</v>
      </c>
      <c r="T51" s="400">
        <f t="shared" si="25"/>
        <v>3.896966615349403E-4</v>
      </c>
      <c r="W51" s="274">
        <f t="shared" si="26"/>
        <v>0.35220833333333323</v>
      </c>
      <c r="X51" s="274">
        <f t="shared" si="27"/>
        <v>1.206267525344344</v>
      </c>
    </row>
    <row r="52" spans="1:24">
      <c r="A52" s="412"/>
      <c r="B52" s="415" t="str">
        <f>'Kakamega Financials'!A58</f>
        <v>Domestic Requisites/ Hospitality</v>
      </c>
      <c r="C52" s="399">
        <f>'Kakamega Financials'!B58</f>
        <v>1957134</v>
      </c>
      <c r="D52" s="400">
        <f t="shared" si="33"/>
        <v>9.3968626844769046E-3</v>
      </c>
      <c r="E52" s="246">
        <f>'Kakamega Financials'!C58</f>
        <v>1441572</v>
      </c>
      <c r="F52" s="400">
        <f t="shared" si="18"/>
        <v>5.8353265419218876E-3</v>
      </c>
      <c r="G52" s="230">
        <f>'Kakamega Financials'!D58</f>
        <v>607553</v>
      </c>
      <c r="H52" s="400">
        <f t="shared" si="19"/>
        <v>2.6279728590168721E-3</v>
      </c>
      <c r="I52" s="1464">
        <f>'Kakamega Financials'!E58</f>
        <v>1670735</v>
      </c>
      <c r="J52" s="400">
        <f t="shared" si="20"/>
        <v>5.7419840962508297E-3</v>
      </c>
      <c r="K52" s="399">
        <f t="shared" si="38"/>
        <v>1704149.7</v>
      </c>
      <c r="L52" s="400">
        <f t="shared" si="21"/>
        <v>5.8980615603988805E-3</v>
      </c>
      <c r="M52" s="399">
        <f t="shared" si="34"/>
        <v>1738232.6939999999</v>
      </c>
      <c r="N52" s="400">
        <f t="shared" si="22"/>
        <v>5.9294063705325429E-3</v>
      </c>
      <c r="O52" s="399">
        <f t="shared" si="35"/>
        <v>1772997.34788</v>
      </c>
      <c r="P52" s="400">
        <f t="shared" si="23"/>
        <v>5.9421778533535448E-3</v>
      </c>
      <c r="Q52" s="399">
        <f t="shared" si="36"/>
        <v>1808457.2948376001</v>
      </c>
      <c r="R52" s="400">
        <f t="shared" si="24"/>
        <v>5.9566628439703074E-3</v>
      </c>
      <c r="S52" s="399">
        <f t="shared" si="37"/>
        <v>1844626.4407343522</v>
      </c>
      <c r="T52" s="400">
        <f t="shared" si="25"/>
        <v>5.9671330279218266E-3</v>
      </c>
      <c r="W52" s="274">
        <f t="shared" si="26"/>
        <v>-0.26342703156758807</v>
      </c>
      <c r="X52" s="274">
        <f t="shared" si="27"/>
        <v>-0.57854827923960794</v>
      </c>
    </row>
    <row r="53" spans="1:24">
      <c r="A53" s="405"/>
      <c r="B53" s="415" t="str">
        <f>'Kakamega Financials'!A59</f>
        <v>Social Corporate Responsibility</v>
      </c>
      <c r="C53" s="399">
        <f>'Kakamega Financials'!B59</f>
        <v>62000</v>
      </c>
      <c r="D53" s="400">
        <f t="shared" si="33"/>
        <v>2.9768298258451805E-4</v>
      </c>
      <c r="E53" s="246">
        <f>'Kakamega Financials'!C59</f>
        <v>310300</v>
      </c>
      <c r="F53" s="400">
        <f t="shared" si="18"/>
        <v>1.2560606240675884E-3</v>
      </c>
      <c r="G53" s="230">
        <f>'Kakamega Financials'!D59</f>
        <v>753240</v>
      </c>
      <c r="H53" s="400">
        <f t="shared" si="19"/>
        <v>3.2581425428330839E-3</v>
      </c>
      <c r="I53" s="1464">
        <f>'Kakamega Financials'!E59</f>
        <v>498900</v>
      </c>
      <c r="J53" s="400">
        <f t="shared" si="20"/>
        <v>1.7146201316304136E-3</v>
      </c>
      <c r="K53" s="399">
        <f t="shared" si="38"/>
        <v>508878</v>
      </c>
      <c r="L53" s="400">
        <f t="shared" si="21"/>
        <v>1.7612265933753717E-3</v>
      </c>
      <c r="M53" s="399">
        <f t="shared" si="34"/>
        <v>519055.56</v>
      </c>
      <c r="N53" s="400">
        <f t="shared" si="22"/>
        <v>1.7705865013055249E-3</v>
      </c>
      <c r="O53" s="399">
        <f t="shared" si="35"/>
        <v>529436.67119999998</v>
      </c>
      <c r="P53" s="400">
        <f t="shared" si="23"/>
        <v>1.7744002077158159E-3</v>
      </c>
      <c r="Q53" s="399">
        <f t="shared" si="36"/>
        <v>540025.40462399996</v>
      </c>
      <c r="R53" s="400">
        <f t="shared" si="24"/>
        <v>1.7787255865572853E-3</v>
      </c>
      <c r="S53" s="399">
        <f t="shared" si="37"/>
        <v>550825.91271647997</v>
      </c>
      <c r="T53" s="400">
        <f t="shared" si="25"/>
        <v>1.7818520996029884E-3</v>
      </c>
      <c r="W53" s="274">
        <f t="shared" si="26"/>
        <v>4.0048387096774194</v>
      </c>
      <c r="X53" s="274">
        <f t="shared" si="27"/>
        <v>1.4274572993876893</v>
      </c>
    </row>
    <row r="54" spans="1:24" s="419" customFormat="1">
      <c r="A54" s="416"/>
      <c r="B54" s="415" t="str">
        <f>'Kakamega Financials'!A60</f>
        <v>Uniform &amp; Protective clothing</v>
      </c>
      <c r="C54" s="399">
        <f>'Kakamega Financials'!B60</f>
        <v>218490</v>
      </c>
      <c r="D54" s="400">
        <f t="shared" si="33"/>
        <v>1.049044433304699E-3</v>
      </c>
      <c r="E54" s="246">
        <f>'Kakamega Financials'!C60</f>
        <v>70700</v>
      </c>
      <c r="F54" s="400">
        <f t="shared" si="18"/>
        <v>2.8618590435571548E-4</v>
      </c>
      <c r="G54" s="230">
        <f>'Kakamega Financials'!D60</f>
        <v>60000</v>
      </c>
      <c r="H54" s="400">
        <f t="shared" si="19"/>
        <v>2.5953023282086058E-4</v>
      </c>
      <c r="I54" s="1464">
        <f>'Kakamega Financials'!E60</f>
        <v>3196951</v>
      </c>
      <c r="J54" s="400">
        <f t="shared" si="20"/>
        <v>1.0987285116127446E-2</v>
      </c>
      <c r="K54" s="399">
        <f t="shared" si="38"/>
        <v>3260890.02</v>
      </c>
      <c r="L54" s="400">
        <f t="shared" si="21"/>
        <v>1.1285939304305449E-2</v>
      </c>
      <c r="M54" s="399">
        <f t="shared" si="34"/>
        <v>3326107.8204000001</v>
      </c>
      <c r="N54" s="400">
        <f t="shared" si="22"/>
        <v>1.1345917590569651E-2</v>
      </c>
      <c r="O54" s="399">
        <f t="shared" si="35"/>
        <v>3392629.9768080004</v>
      </c>
      <c r="P54" s="400">
        <f t="shared" si="23"/>
        <v>1.1370355819717952E-2</v>
      </c>
      <c r="Q54" s="399">
        <f t="shared" si="36"/>
        <v>3460482.5763441604</v>
      </c>
      <c r="R54" s="400">
        <f t="shared" si="24"/>
        <v>1.1398072845600122E-2</v>
      </c>
      <c r="S54" s="399">
        <f t="shared" si="37"/>
        <v>3529692.2278710436</v>
      </c>
      <c r="T54" s="418">
        <f t="shared" si="25"/>
        <v>1.1418107539943625E-2</v>
      </c>
      <c r="W54" s="420">
        <f t="shared" si="26"/>
        <v>-0.67641539658565608</v>
      </c>
      <c r="X54" s="420">
        <f t="shared" si="27"/>
        <v>-0.15134370579915135</v>
      </c>
    </row>
    <row r="55" spans="1:24">
      <c r="A55" s="405"/>
      <c r="B55" s="415" t="str">
        <f>'Kakamega Financials'!A61</f>
        <v>Subscription Fees</v>
      </c>
      <c r="C55" s="399">
        <f>'Kakamega Financials'!B61</f>
        <v>503310</v>
      </c>
      <c r="D55" s="400">
        <f t="shared" si="33"/>
        <v>2.4165616445905448E-3</v>
      </c>
      <c r="E55" s="246">
        <f>'Kakamega Financials'!C61</f>
        <v>525250</v>
      </c>
      <c r="F55" s="400">
        <f t="shared" si="18"/>
        <v>2.1261548269142791E-3</v>
      </c>
      <c r="G55" s="230">
        <f>'Kakamega Financials'!D61</f>
        <v>866400</v>
      </c>
      <c r="H55" s="400">
        <f t="shared" si="19"/>
        <v>3.747616561933227E-3</v>
      </c>
      <c r="I55" s="1464">
        <f>'Kakamega Financials'!E61</f>
        <v>302190</v>
      </c>
      <c r="J55" s="400">
        <f t="shared" si="20"/>
        <v>1.0385669624722283E-3</v>
      </c>
      <c r="K55" s="399">
        <f t="shared" si="38"/>
        <v>308233.8</v>
      </c>
      <c r="L55" s="400">
        <f t="shared" si="21"/>
        <v>1.0667970820847938E-3</v>
      </c>
      <c r="M55" s="399">
        <f t="shared" si="34"/>
        <v>314398.47599999997</v>
      </c>
      <c r="N55" s="400">
        <f t="shared" si="22"/>
        <v>1.0724664959501232E-3</v>
      </c>
      <c r="O55" s="399">
        <f t="shared" si="35"/>
        <v>320686.44551999995</v>
      </c>
      <c r="P55" s="400">
        <f t="shared" si="23"/>
        <v>1.0747765058521594E-3</v>
      </c>
      <c r="Q55" s="399">
        <f t="shared" si="36"/>
        <v>327100.17443039996</v>
      </c>
      <c r="R55" s="400">
        <f t="shared" si="24"/>
        <v>1.07739644217628E-3</v>
      </c>
      <c r="S55" s="399">
        <f t="shared" si="37"/>
        <v>333642.17791900795</v>
      </c>
      <c r="T55" s="400">
        <f t="shared" si="25"/>
        <v>1.0792902104209802E-3</v>
      </c>
      <c r="W55" s="274">
        <f t="shared" si="26"/>
        <v>4.3591424768035569E-2</v>
      </c>
      <c r="X55" s="274">
        <f t="shared" si="27"/>
        <v>0.64950023798191348</v>
      </c>
    </row>
    <row r="56" spans="1:24">
      <c r="A56" s="405"/>
      <c r="B56" s="415" t="str">
        <f>'Kakamega Financials'!A62</f>
        <v>Publicity &amp; Advertisement</v>
      </c>
      <c r="C56" s="399">
        <f>'Kakamega Financials'!B62</f>
        <v>905988</v>
      </c>
      <c r="D56" s="400">
        <f t="shared" si="33"/>
        <v>4.3499550004158435E-3</v>
      </c>
      <c r="E56" s="246">
        <f>'Kakamega Financials'!C62</f>
        <v>45000</v>
      </c>
      <c r="F56" s="400">
        <f t="shared" si="18"/>
        <v>1.8215510178227999E-4</v>
      </c>
      <c r="G56" s="230">
        <f>'Kakamega Financials'!D62</f>
        <v>452222</v>
      </c>
      <c r="H56" s="400">
        <f t="shared" si="19"/>
        <v>1.9560880157785871E-3</v>
      </c>
      <c r="I56" s="1464">
        <f>'Kakamega Financials'!E62</f>
        <v>489667</v>
      </c>
      <c r="J56" s="400">
        <f t="shared" si="20"/>
        <v>1.6828881459111441E-3</v>
      </c>
      <c r="K56" s="399">
        <f t="shared" si="38"/>
        <v>499460.34</v>
      </c>
      <c r="L56" s="400">
        <f t="shared" si="21"/>
        <v>1.728632075162033E-3</v>
      </c>
      <c r="M56" s="399">
        <f t="shared" si="34"/>
        <v>509449.54680000001</v>
      </c>
      <c r="N56" s="400">
        <f t="shared" si="22"/>
        <v>1.7378187619458256E-3</v>
      </c>
      <c r="O56" s="399">
        <f t="shared" si="35"/>
        <v>519638.53773600003</v>
      </c>
      <c r="P56" s="400">
        <f t="shared" si="23"/>
        <v>1.7415618891793556E-3</v>
      </c>
      <c r="Q56" s="399">
        <f t="shared" si="36"/>
        <v>530031.30849072</v>
      </c>
      <c r="R56" s="400">
        <f t="shared" si="24"/>
        <v>1.7458072194683229E-3</v>
      </c>
      <c r="S56" s="399">
        <f t="shared" si="37"/>
        <v>540631.93466053437</v>
      </c>
      <c r="T56" s="400">
        <f t="shared" si="25"/>
        <v>1.7488758710288565E-3</v>
      </c>
      <c r="W56" s="274">
        <f t="shared" si="26"/>
        <v>-0.95033046795321796</v>
      </c>
      <c r="X56" s="274">
        <f t="shared" si="27"/>
        <v>9.049377777777778</v>
      </c>
    </row>
    <row r="57" spans="1:24">
      <c r="A57" s="405"/>
      <c r="B57" s="415" t="str">
        <f>'Kakamega Financials'!A63</f>
        <v>Computer Accessories</v>
      </c>
      <c r="C57" s="399">
        <f>'Kakamega Financials'!B63</f>
        <v>323110</v>
      </c>
      <c r="D57" s="400">
        <f t="shared" si="33"/>
        <v>1.5513604597239294E-3</v>
      </c>
      <c r="E57" s="246">
        <f>'Kakamega Financials'!C63</f>
        <v>932900</v>
      </c>
      <c r="F57" s="400">
        <f t="shared" si="18"/>
        <v>3.7762776545042002E-3</v>
      </c>
      <c r="G57" s="230">
        <f>'Kakamega Financials'!D63</f>
        <v>619421</v>
      </c>
      <c r="H57" s="400">
        <f t="shared" si="19"/>
        <v>2.679307939068838E-3</v>
      </c>
      <c r="I57" s="1464">
        <f>'Kakamega Financials'!E63</f>
        <v>3311451</v>
      </c>
      <c r="J57" s="400">
        <f t="shared" si="20"/>
        <v>1.1380798856499629E-2</v>
      </c>
      <c r="K57" s="399">
        <f t="shared" si="38"/>
        <v>3377680.02</v>
      </c>
      <c r="L57" s="400">
        <f t="shared" si="21"/>
        <v>1.1690149456523288E-2</v>
      </c>
      <c r="M57" s="399">
        <f t="shared" si="34"/>
        <v>3445233.6203999999</v>
      </c>
      <c r="N57" s="400">
        <f t="shared" si="22"/>
        <v>1.1752275887622132E-2</v>
      </c>
      <c r="O57" s="399">
        <f t="shared" si="35"/>
        <v>3514138.292808</v>
      </c>
      <c r="P57" s="400">
        <f t="shared" si="23"/>
        <v>1.1777589381119957E-2</v>
      </c>
      <c r="Q57" s="399">
        <f t="shared" si="36"/>
        <v>3584421.0586641598</v>
      </c>
      <c r="R57" s="400">
        <f t="shared" si="24"/>
        <v>1.180629910268733E-2</v>
      </c>
      <c r="S57" s="399">
        <f t="shared" si="37"/>
        <v>3656109.4798374432</v>
      </c>
      <c r="T57" s="400">
        <f t="shared" si="25"/>
        <v>1.1827051347128513E-2</v>
      </c>
      <c r="W57" s="274">
        <f t="shared" si="26"/>
        <v>1.8872520194361053</v>
      </c>
      <c r="X57" s="274">
        <f t="shared" si="27"/>
        <v>-0.33602636938578623</v>
      </c>
    </row>
    <row r="58" spans="1:24" s="421" customFormat="1">
      <c r="A58" s="406"/>
      <c r="B58" s="415" t="str">
        <f>'Kakamega Financials'!A64</f>
        <v>Motor Vehicle Insurance</v>
      </c>
      <c r="C58" s="399">
        <f>'Kakamega Financials'!B64</f>
        <v>823813</v>
      </c>
      <c r="D58" s="400">
        <f t="shared" si="33"/>
        <v>3.9554050150306377E-3</v>
      </c>
      <c r="E58" s="246">
        <f>'Kakamega Financials'!C64</f>
        <v>438571</v>
      </c>
      <c r="F58" s="400">
        <f t="shared" si="18"/>
        <v>1.7752876698612515E-3</v>
      </c>
      <c r="G58" s="230">
        <f>'Kakamega Financials'!D64</f>
        <v>500343</v>
      </c>
      <c r="H58" s="400">
        <f t="shared" si="19"/>
        <v>2.1642355880047977E-3</v>
      </c>
      <c r="I58" s="1464">
        <f>'Kakamega Financials'!E64</f>
        <v>235784</v>
      </c>
      <c r="J58" s="400">
        <f t="shared" si="20"/>
        <v>8.1034274026126562E-4</v>
      </c>
      <c r="K58" s="399">
        <f t="shared" si="38"/>
        <v>240499.68</v>
      </c>
      <c r="L58" s="400">
        <f t="shared" si="21"/>
        <v>8.3236931467712692E-4</v>
      </c>
      <c r="M58" s="399">
        <f t="shared" si="34"/>
        <v>245309.67360000001</v>
      </c>
      <c r="N58" s="400">
        <f t="shared" si="22"/>
        <v>8.3679287958272571E-4</v>
      </c>
      <c r="O58" s="399">
        <f t="shared" si="35"/>
        <v>250215.86707200002</v>
      </c>
      <c r="P58" s="400">
        <f t="shared" si="23"/>
        <v>8.3859526673895767E-4</v>
      </c>
      <c r="Q58" s="399">
        <f t="shared" si="36"/>
        <v>255220.18441344003</v>
      </c>
      <c r="R58" s="400">
        <f t="shared" si="24"/>
        <v>8.4063947424498509E-4</v>
      </c>
      <c r="S58" s="399">
        <f t="shared" si="37"/>
        <v>260324.58810170882</v>
      </c>
      <c r="T58" s="418">
        <f t="shared" si="25"/>
        <v>8.4211708850028271E-4</v>
      </c>
      <c r="W58" s="422">
        <f t="shared" si="26"/>
        <v>-0.46763282443952692</v>
      </c>
      <c r="X58" s="422">
        <f t="shared" si="27"/>
        <v>0.1408483461058756</v>
      </c>
    </row>
    <row r="59" spans="1:24">
      <c r="A59" s="412"/>
      <c r="B59" s="415" t="str">
        <f>'Kakamega Financials'!A65</f>
        <v>Bank Charges and Commissions</v>
      </c>
      <c r="C59" s="399">
        <f>'Kakamega Financials'!B65</f>
        <v>276890</v>
      </c>
      <c r="D59" s="400">
        <f t="shared" si="33"/>
        <v>1.3294425975455999E-3</v>
      </c>
      <c r="E59" s="246">
        <f>'Kakamega Financials'!C65</f>
        <v>0</v>
      </c>
      <c r="F59" s="400">
        <f t="shared" si="18"/>
        <v>0</v>
      </c>
      <c r="G59" s="230">
        <f>'Kakamega Financials'!D65</f>
        <v>221765</v>
      </c>
      <c r="H59" s="400">
        <f t="shared" si="19"/>
        <v>9.5924536802530246E-4</v>
      </c>
      <c r="I59" s="1464">
        <f>'Kakamega Financials'!E65</f>
        <v>57426</v>
      </c>
      <c r="J59" s="400">
        <f t="shared" si="20"/>
        <v>1.9736174720186034E-4</v>
      </c>
      <c r="K59" s="399">
        <f t="shared" si="38"/>
        <v>58574.520000000004</v>
      </c>
      <c r="L59" s="400">
        <f t="shared" si="21"/>
        <v>2.0272639477084408E-4</v>
      </c>
      <c r="M59" s="399">
        <f t="shared" si="34"/>
        <v>59746.010400000006</v>
      </c>
      <c r="N59" s="400">
        <f t="shared" si="22"/>
        <v>2.0380376914005027E-4</v>
      </c>
      <c r="O59" s="399">
        <f t="shared" si="35"/>
        <v>60940.93060800001</v>
      </c>
      <c r="P59" s="400">
        <f t="shared" si="23"/>
        <v>2.042427466993154E-4</v>
      </c>
      <c r="Q59" s="399">
        <f t="shared" si="36"/>
        <v>62159.749220160011</v>
      </c>
      <c r="R59" s="400">
        <f t="shared" si="24"/>
        <v>2.0474062043222829E-4</v>
      </c>
      <c r="S59" s="399">
        <f t="shared" si="37"/>
        <v>63402.944204563209</v>
      </c>
      <c r="T59" s="400">
        <f t="shared" si="25"/>
        <v>2.0510049844017084E-4</v>
      </c>
      <c r="W59" s="274">
        <f t="shared" si="26"/>
        <v>-1</v>
      </c>
      <c r="X59" s="274" t="e">
        <f t="shared" si="27"/>
        <v>#DIV/0!</v>
      </c>
    </row>
    <row r="60" spans="1:24" s="421" customFormat="1">
      <c r="A60" s="423"/>
      <c r="B60" s="415" t="str">
        <f>'Kakamega Financials'!A66</f>
        <v>Auditor's Remuneration</v>
      </c>
      <c r="C60" s="399">
        <f>'Kakamega Financials'!B66</f>
        <v>456000</v>
      </c>
      <c r="D60" s="400">
        <f t="shared" si="33"/>
        <v>2.1894103235248425E-3</v>
      </c>
      <c r="E60" s="246">
        <f>'Kakamega Financials'!C66</f>
        <v>456000</v>
      </c>
      <c r="F60" s="400">
        <f t="shared" si="18"/>
        <v>1.845838364727104E-3</v>
      </c>
      <c r="G60" s="230">
        <f>'Kakamega Financials'!D66</f>
        <v>536894</v>
      </c>
      <c r="H60" s="400">
        <f t="shared" si="19"/>
        <v>2.3223370803353853E-3</v>
      </c>
      <c r="I60" s="1464">
        <f>'Kakamega Financials'!E66</f>
        <v>0</v>
      </c>
      <c r="J60" s="400">
        <f t="shared" si="20"/>
        <v>0</v>
      </c>
      <c r="K60" s="399">
        <f t="shared" si="38"/>
        <v>0</v>
      </c>
      <c r="L60" s="400">
        <f t="shared" si="21"/>
        <v>0</v>
      </c>
      <c r="M60" s="399">
        <f t="shared" si="34"/>
        <v>0</v>
      </c>
      <c r="N60" s="400">
        <f t="shared" si="22"/>
        <v>0</v>
      </c>
      <c r="O60" s="399">
        <f t="shared" si="35"/>
        <v>0</v>
      </c>
      <c r="P60" s="400">
        <f t="shared" si="23"/>
        <v>0</v>
      </c>
      <c r="Q60" s="399">
        <f t="shared" si="36"/>
        <v>0</v>
      </c>
      <c r="R60" s="400">
        <f t="shared" si="24"/>
        <v>0</v>
      </c>
      <c r="S60" s="399">
        <f t="shared" si="37"/>
        <v>0</v>
      </c>
      <c r="T60" s="418">
        <f t="shared" si="25"/>
        <v>0</v>
      </c>
      <c r="W60" s="422">
        <f t="shared" si="26"/>
        <v>0</v>
      </c>
      <c r="X60" s="422">
        <f t="shared" si="27"/>
        <v>0.17739912280701753</v>
      </c>
    </row>
    <row r="61" spans="1:24">
      <c r="A61" s="412"/>
      <c r="B61" s="415" t="str">
        <f>'Kakamega Financials'!A67</f>
        <v>Legal Fees</v>
      </c>
      <c r="C61" s="399">
        <f>'Kakamega Financials'!B67</f>
        <v>974719</v>
      </c>
      <c r="D61" s="400">
        <f t="shared" si="33"/>
        <v>4.679955791964497E-3</v>
      </c>
      <c r="E61" s="246">
        <f>'Kakamega Financials'!C67</f>
        <v>1349242</v>
      </c>
      <c r="F61" s="400">
        <f t="shared" si="18"/>
        <v>5.4615847519761561E-3</v>
      </c>
      <c r="G61" s="230">
        <f>'Kakamega Financials'!D67</f>
        <v>355822</v>
      </c>
      <c r="H61" s="400">
        <f t="shared" si="19"/>
        <v>1.5391094417130709E-3</v>
      </c>
      <c r="I61" s="1464">
        <f>'Kakamega Financials'!E67</f>
        <v>1673200</v>
      </c>
      <c r="J61" s="400">
        <f t="shared" si="20"/>
        <v>5.7504558112728161E-3</v>
      </c>
      <c r="K61" s="399">
        <f t="shared" si="38"/>
        <v>1706664</v>
      </c>
      <c r="L61" s="400">
        <f t="shared" si="21"/>
        <v>5.9067635518854919E-3</v>
      </c>
      <c r="M61" s="399">
        <f t="shared" si="34"/>
        <v>1740797.28</v>
      </c>
      <c r="N61" s="400">
        <f t="shared" si="22"/>
        <v>5.9381546081066425E-3</v>
      </c>
      <c r="O61" s="399">
        <f t="shared" si="35"/>
        <v>1775613.2256</v>
      </c>
      <c r="P61" s="400">
        <f t="shared" si="23"/>
        <v>5.950944933954907E-3</v>
      </c>
      <c r="Q61" s="399">
        <f t="shared" si="36"/>
        <v>1811125.4901120001</v>
      </c>
      <c r="R61" s="400">
        <f t="shared" si="24"/>
        <v>5.9654512957058531E-3</v>
      </c>
      <c r="S61" s="399">
        <f t="shared" si="37"/>
        <v>1847347.9999142401</v>
      </c>
      <c r="T61" s="400">
        <f t="shared" si="25"/>
        <v>5.9759369273516142E-3</v>
      </c>
      <c r="W61" s="274">
        <f t="shared" si="26"/>
        <v>0.38423689288912999</v>
      </c>
      <c r="X61" s="274">
        <f t="shared" si="27"/>
        <v>-0.73628007429356623</v>
      </c>
    </row>
    <row r="62" spans="1:24">
      <c r="A62" s="412"/>
      <c r="B62" s="415" t="str">
        <f>'Kakamega Financials'!A68</f>
        <v>Consultancy/ Profession Fees</v>
      </c>
      <c r="C62" s="246">
        <f>'Kakamega Financials'!B68</f>
        <v>0</v>
      </c>
      <c r="D62" s="400">
        <f t="shared" si="33"/>
        <v>0</v>
      </c>
      <c r="E62" s="246">
        <f>'Kakamega Financials'!C68</f>
        <v>8178000</v>
      </c>
      <c r="F62" s="400">
        <f t="shared" si="18"/>
        <v>3.3103653830566349E-2</v>
      </c>
      <c r="G62" s="230">
        <f>'Kakamega Financials'!D68</f>
        <v>0</v>
      </c>
      <c r="H62" s="400">
        <f t="shared" si="19"/>
        <v>0</v>
      </c>
      <c r="I62" s="1464">
        <f>'Kakamega Financials'!E68</f>
        <v>1111744</v>
      </c>
      <c r="J62" s="400">
        <f t="shared" si="20"/>
        <v>3.8208431421513779E-3</v>
      </c>
      <c r="K62" s="399">
        <f t="shared" si="38"/>
        <v>1133978.8800000001</v>
      </c>
      <c r="L62" s="400">
        <f t="shared" si="21"/>
        <v>3.9247005368320499E-3</v>
      </c>
      <c r="M62" s="399">
        <f t="shared" si="34"/>
        <v>1156658.4576000001</v>
      </c>
      <c r="N62" s="400">
        <f t="shared" si="22"/>
        <v>3.9455580663608127E-3</v>
      </c>
      <c r="O62" s="399">
        <f t="shared" si="35"/>
        <v>1179791.6267520001</v>
      </c>
      <c r="P62" s="400">
        <f t="shared" si="23"/>
        <v>3.9540564933389696E-3</v>
      </c>
      <c r="Q62" s="399">
        <f t="shared" si="36"/>
        <v>1203387.4592870402</v>
      </c>
      <c r="R62" s="400">
        <f t="shared" si="24"/>
        <v>3.9636951262809039E-3</v>
      </c>
      <c r="S62" s="399">
        <f t="shared" si="37"/>
        <v>1227455.2084727809</v>
      </c>
      <c r="T62" s="400">
        <f t="shared" si="25"/>
        <v>3.9706622181219179E-3</v>
      </c>
      <c r="W62" s="274" t="e">
        <f t="shared" si="26"/>
        <v>#DIV/0!</v>
      </c>
      <c r="X62" s="274">
        <f t="shared" si="27"/>
        <v>-1</v>
      </c>
    </row>
    <row r="63" spans="1:24" s="1675" customFormat="1">
      <c r="A63" s="1681"/>
      <c r="B63" s="1678" t="str">
        <f>'Kakamega Financials'!A16</f>
        <v>Medical Allowance</v>
      </c>
      <c r="C63" s="1671">
        <f>'Kakamega Financials'!B16</f>
        <v>1604700</v>
      </c>
      <c r="D63" s="1672">
        <f t="shared" si="33"/>
        <v>7.7047077766673562E-3</v>
      </c>
      <c r="E63" s="1673">
        <f>'Kakamega Financials'!C16</f>
        <v>7751707</v>
      </c>
      <c r="F63" s="1672">
        <f t="shared" si="18"/>
        <v>3.1378066168253609E-2</v>
      </c>
      <c r="G63" s="1674">
        <f>'Kakamega Financials'!D16</f>
        <v>0</v>
      </c>
      <c r="H63" s="1672">
        <f t="shared" si="19"/>
        <v>0</v>
      </c>
      <c r="I63" s="1674">
        <f>'Kakamega Financials'!E16</f>
        <v>9370600</v>
      </c>
      <c r="J63" s="1672">
        <f t="shared" si="20"/>
        <v>3.2204889567961421E-2</v>
      </c>
      <c r="K63" s="399">
        <f t="shared" si="38"/>
        <v>9558012</v>
      </c>
      <c r="L63" s="1672">
        <f t="shared" si="21"/>
        <v>3.3080276439934372E-2</v>
      </c>
      <c r="M63" s="399">
        <f t="shared" si="34"/>
        <v>9749172.2400000002</v>
      </c>
      <c r="N63" s="1672">
        <f t="shared" si="22"/>
        <v>3.3256079112314194E-2</v>
      </c>
      <c r="O63" s="399">
        <f t="shared" si="35"/>
        <v>9944155.6848000009</v>
      </c>
      <c r="P63" s="1672">
        <f t="shared" si="23"/>
        <v>3.3327710135140964E-2</v>
      </c>
      <c r="Q63" s="399">
        <f t="shared" si="36"/>
        <v>10143038.798496</v>
      </c>
      <c r="R63" s="1672">
        <f t="shared" si="24"/>
        <v>3.3408951656431547E-2</v>
      </c>
      <c r="S63" s="399">
        <f t="shared" si="37"/>
        <v>10345899.574465921</v>
      </c>
      <c r="T63" s="1672">
        <f t="shared" si="25"/>
        <v>3.3467675455080705E-2</v>
      </c>
      <c r="W63" s="1679">
        <f>E63/C63-1</f>
        <v>3.8306269084564093</v>
      </c>
      <c r="X63" s="1679">
        <f>G63/E63-1</f>
        <v>-1</v>
      </c>
    </row>
    <row r="64" spans="1:24" s="1675" customFormat="1">
      <c r="A64" s="1681"/>
      <c r="B64" s="1678" t="str">
        <f>'Kakamega Financials'!A28</f>
        <v>WIBA</v>
      </c>
      <c r="C64" s="1671">
        <f>'Kakamega Financials'!B28</f>
        <v>692988</v>
      </c>
      <c r="D64" s="1672">
        <f t="shared" si="33"/>
        <v>3.3272699150851612E-3</v>
      </c>
      <c r="E64" s="1673">
        <f>'Kakamega Financials'!C28</f>
        <v>472300</v>
      </c>
      <c r="F64" s="1672">
        <f t="shared" si="18"/>
        <v>1.9118189904837966E-3</v>
      </c>
      <c r="G64" s="1674">
        <f>'Kakamega Financials'!D28</f>
        <v>363055</v>
      </c>
      <c r="H64" s="1672">
        <f t="shared" si="19"/>
        <v>1.5703958112796258E-3</v>
      </c>
      <c r="I64" s="1674">
        <f>'Kakamega Financials'!E28</f>
        <v>326640</v>
      </c>
      <c r="J64" s="1672">
        <f t="shared" si="20"/>
        <v>1.1225967524468997E-3</v>
      </c>
      <c r="K64" s="399">
        <f t="shared" si="38"/>
        <v>333172.8</v>
      </c>
      <c r="L64" s="1672">
        <f t="shared" si="21"/>
        <v>1.1531109530168999E-3</v>
      </c>
      <c r="M64" s="399">
        <f t="shared" si="34"/>
        <v>339836.25599999999</v>
      </c>
      <c r="N64" s="1672">
        <f t="shared" si="22"/>
        <v>1.1592390755390592E-3</v>
      </c>
      <c r="O64" s="399">
        <f t="shared" si="35"/>
        <v>346632.98112000001</v>
      </c>
      <c r="P64" s="1672">
        <f t="shared" si="23"/>
        <v>1.161735986867697E-3</v>
      </c>
      <c r="Q64" s="399">
        <f t="shared" si="36"/>
        <v>353565.64074240002</v>
      </c>
      <c r="R64" s="1672">
        <f t="shared" si="24"/>
        <v>1.1645679005673917E-3</v>
      </c>
      <c r="S64" s="399">
        <f t="shared" si="37"/>
        <v>360636.95355724805</v>
      </c>
      <c r="T64" s="1672">
        <f t="shared" si="25"/>
        <v>1.1666148923919026E-3</v>
      </c>
      <c r="U64" s="1675" t="s">
        <v>1007</v>
      </c>
      <c r="W64" s="1679"/>
      <c r="X64" s="1679"/>
    </row>
    <row r="65" spans="1:24">
      <c r="A65" s="412"/>
      <c r="B65" s="415" t="str">
        <f>'Kakamega Financials'!A72</f>
        <v>ICT expenses</v>
      </c>
      <c r="C65" s="246">
        <f>'Kakamega Financials'!B72</f>
        <v>0</v>
      </c>
      <c r="D65" s="400">
        <f t="shared" si="33"/>
        <v>0</v>
      </c>
      <c r="E65" s="246">
        <f>'Kakamega Financials'!C72</f>
        <v>0</v>
      </c>
      <c r="F65" s="400">
        <f t="shared" si="18"/>
        <v>0</v>
      </c>
      <c r="G65" s="230">
        <f>'Kakamega Financials'!D72</f>
        <v>0</v>
      </c>
      <c r="H65" s="400">
        <f t="shared" si="19"/>
        <v>0</v>
      </c>
      <c r="I65" s="1464">
        <f>'Kakamega Financials'!E72</f>
        <v>1529691</v>
      </c>
      <c r="J65" s="400">
        <f t="shared" si="20"/>
        <v>5.2572439041368192E-3</v>
      </c>
      <c r="K65" s="399">
        <f t="shared" si="38"/>
        <v>1560284.82</v>
      </c>
      <c r="L65" s="400">
        <f t="shared" si="21"/>
        <v>5.4001452572599038E-3</v>
      </c>
      <c r="M65" s="399">
        <f t="shared" si="34"/>
        <v>1591490.5164000001</v>
      </c>
      <c r="N65" s="400">
        <f t="shared" si="22"/>
        <v>5.4288439281790935E-3</v>
      </c>
      <c r="O65" s="399">
        <f t="shared" si="35"/>
        <v>1623320.3267280001</v>
      </c>
      <c r="P65" s="400">
        <f t="shared" si="23"/>
        <v>5.4405372382060821E-3</v>
      </c>
      <c r="Q65" s="399">
        <f t="shared" si="36"/>
        <v>1655786.7332625601</v>
      </c>
      <c r="R65" s="400">
        <f t="shared" si="24"/>
        <v>5.4537994011352991E-3</v>
      </c>
      <c r="S65" s="399">
        <f t="shared" si="37"/>
        <v>1688902.4679278114</v>
      </c>
      <c r="T65" s="400">
        <f t="shared" si="25"/>
        <v>5.4633856887027366E-3</v>
      </c>
      <c r="W65" s="274" t="e">
        <f t="shared" si="26"/>
        <v>#DIV/0!</v>
      </c>
      <c r="X65" s="274" t="e">
        <f t="shared" si="27"/>
        <v>#DIV/0!</v>
      </c>
    </row>
    <row r="66" spans="1:24">
      <c r="A66" s="412"/>
      <c r="B66" s="415" t="str">
        <f>'Kakamega Financials'!A73</f>
        <v>Office furniture</v>
      </c>
      <c r="C66" s="246">
        <f>'Kakamega Financials'!B73</f>
        <v>0</v>
      </c>
      <c r="D66" s="400">
        <f t="shared" si="33"/>
        <v>0</v>
      </c>
      <c r="E66" s="246">
        <f>'Kakamega Financials'!C73</f>
        <v>0</v>
      </c>
      <c r="F66" s="400">
        <f t="shared" si="18"/>
        <v>0</v>
      </c>
      <c r="G66" s="230">
        <f>'Kakamega Financials'!D73</f>
        <v>0</v>
      </c>
      <c r="H66" s="400">
        <f t="shared" si="19"/>
        <v>0</v>
      </c>
      <c r="I66" s="1464">
        <f>'Kakamega Financials'!E73</f>
        <v>842129</v>
      </c>
      <c r="J66" s="400">
        <f t="shared" si="20"/>
        <v>2.8942299796147295E-3</v>
      </c>
      <c r="K66" s="399">
        <f t="shared" si="38"/>
        <v>858971.58</v>
      </c>
      <c r="L66" s="400">
        <f t="shared" si="21"/>
        <v>2.9729003604983132E-3</v>
      </c>
      <c r="M66" s="399">
        <f t="shared" si="34"/>
        <v>876151.01159999997</v>
      </c>
      <c r="N66" s="400">
        <f t="shared" si="22"/>
        <v>2.9886996186769296E-3</v>
      </c>
      <c r="O66" s="399">
        <f t="shared" si="35"/>
        <v>893674.03183200001</v>
      </c>
      <c r="P66" s="400">
        <f t="shared" si="23"/>
        <v>2.9951370465494333E-3</v>
      </c>
      <c r="Q66" s="399">
        <f t="shared" si="36"/>
        <v>911547.51246863999</v>
      </c>
      <c r="R66" s="400">
        <f t="shared" si="24"/>
        <v>3.0024381629222296E-3</v>
      </c>
      <c r="S66" s="399">
        <f t="shared" si="37"/>
        <v>929778.46271801286</v>
      </c>
      <c r="T66" s="400">
        <f t="shared" si="25"/>
        <v>3.0077156279546303E-3</v>
      </c>
      <c r="W66" s="274" t="e">
        <f t="shared" si="26"/>
        <v>#DIV/0!</v>
      </c>
      <c r="X66" s="274" t="e">
        <f t="shared" si="27"/>
        <v>#DIV/0!</v>
      </c>
    </row>
    <row r="67" spans="1:24">
      <c r="A67" s="1847" t="s">
        <v>1113</v>
      </c>
      <c r="B67" s="415" t="str">
        <f>'Kakamega Financials'!A75</f>
        <v>Air Ticket</v>
      </c>
      <c r="C67" s="246">
        <f>'Kakamega Financials'!B75</f>
        <v>0</v>
      </c>
      <c r="D67" s="400">
        <f t="shared" si="33"/>
        <v>0</v>
      </c>
      <c r="E67" s="246">
        <f>'Kakamega Financials'!C75</f>
        <v>0</v>
      </c>
      <c r="F67" s="400">
        <f t="shared" si="18"/>
        <v>0</v>
      </c>
      <c r="G67" s="230">
        <f>'Kakamega Financials'!D75</f>
        <v>0</v>
      </c>
      <c r="H67" s="400">
        <f t="shared" si="19"/>
        <v>0</v>
      </c>
      <c r="I67" s="1464">
        <f>'Kakamega Financials'!E75</f>
        <v>664437</v>
      </c>
      <c r="J67" s="400">
        <f t="shared" si="20"/>
        <v>2.2835378961718121E-3</v>
      </c>
      <c r="K67" s="399">
        <v>0</v>
      </c>
      <c r="L67" s="400">
        <f t="shared" si="21"/>
        <v>0</v>
      </c>
      <c r="M67" s="399">
        <f t="shared" si="34"/>
        <v>0</v>
      </c>
      <c r="N67" s="400">
        <f t="shared" si="22"/>
        <v>0</v>
      </c>
      <c r="O67" s="399">
        <f t="shared" si="35"/>
        <v>0</v>
      </c>
      <c r="P67" s="400">
        <f t="shared" si="23"/>
        <v>0</v>
      </c>
      <c r="Q67" s="399">
        <f t="shared" si="36"/>
        <v>0</v>
      </c>
      <c r="R67" s="400">
        <f t="shared" si="24"/>
        <v>0</v>
      </c>
      <c r="S67" s="399">
        <f t="shared" si="37"/>
        <v>0</v>
      </c>
      <c r="T67" s="400">
        <f t="shared" si="25"/>
        <v>0</v>
      </c>
      <c r="W67" s="274" t="e">
        <f t="shared" si="26"/>
        <v>#DIV/0!</v>
      </c>
      <c r="X67" s="274" t="e">
        <f t="shared" si="27"/>
        <v>#DIV/0!</v>
      </c>
    </row>
    <row r="68" spans="1:24" s="144" customFormat="1">
      <c r="A68" s="408" t="s">
        <v>57</v>
      </c>
      <c r="B68" s="404" t="s">
        <v>470</v>
      </c>
      <c r="C68" s="159">
        <f t="shared" ref="C68:T68" si="39">SUM(C43:C67)</f>
        <v>33913181</v>
      </c>
      <c r="D68" s="409">
        <f>SUM(D43:D67)</f>
        <v>0.15882371875395779</v>
      </c>
      <c r="E68" s="159">
        <f t="shared" si="39"/>
        <v>47349076</v>
      </c>
      <c r="F68" s="409">
        <f>SUM(F43:F67)</f>
        <v>0.19166390573504247</v>
      </c>
      <c r="G68" s="159">
        <f t="shared" si="39"/>
        <v>32606077</v>
      </c>
      <c r="H68" s="409">
        <f t="shared" si="39"/>
        <v>0.14103771258641515</v>
      </c>
      <c r="I68" s="1461">
        <f t="shared" si="39"/>
        <v>51894346</v>
      </c>
      <c r="J68" s="409">
        <f t="shared" si="39"/>
        <v>0.17835055195308516</v>
      </c>
      <c r="K68" s="159">
        <f t="shared" si="39"/>
        <v>52254507.18</v>
      </c>
      <c r="L68" s="409">
        <f t="shared" si="39"/>
        <v>0.18085283244538045</v>
      </c>
      <c r="M68" s="424">
        <f t="shared" si="39"/>
        <v>53299597.323600002</v>
      </c>
      <c r="N68" s="409">
        <f t="shared" si="39"/>
        <v>0.18181396139208345</v>
      </c>
      <c r="O68" s="424">
        <f t="shared" si="39"/>
        <v>54365589.270071991</v>
      </c>
      <c r="P68" s="409">
        <f t="shared" si="39"/>
        <v>0.1822055746058576</v>
      </c>
      <c r="Q68" s="424">
        <f t="shared" si="39"/>
        <v>55452901.055473454</v>
      </c>
      <c r="R68" s="409">
        <f>SUM(R43:R67)</f>
        <v>0.18264972927500772</v>
      </c>
      <c r="S68" s="159">
        <f>SUM(S43:S67)</f>
        <v>56582446.919534527</v>
      </c>
      <c r="T68" s="409">
        <f t="shared" si="39"/>
        <v>0.18303705311725582</v>
      </c>
      <c r="W68" s="411">
        <f t="shared" si="26"/>
        <v>0.3961850408547638</v>
      </c>
      <c r="X68" s="411">
        <f t="shared" si="27"/>
        <v>-0.31136825141001701</v>
      </c>
    </row>
    <row r="69" spans="1:24">
      <c r="A69" s="425"/>
      <c r="B69" s="394"/>
      <c r="C69" s="394"/>
      <c r="D69" s="394"/>
      <c r="E69" s="246"/>
      <c r="F69" s="394"/>
      <c r="G69" s="395"/>
      <c r="H69" s="394"/>
      <c r="I69" s="1459"/>
      <c r="J69" s="394"/>
      <c r="K69" s="394"/>
      <c r="L69" s="394"/>
      <c r="M69" s="396"/>
      <c r="N69" s="394"/>
      <c r="O69" s="394"/>
      <c r="P69" s="394"/>
      <c r="Q69" s="394"/>
      <c r="R69" s="394"/>
      <c r="S69" s="394"/>
      <c r="T69" s="397"/>
      <c r="W69" s="274"/>
      <c r="X69" s="274"/>
    </row>
    <row r="70" spans="1:24">
      <c r="A70" s="408"/>
      <c r="B70" s="404" t="s">
        <v>56</v>
      </c>
      <c r="C70" s="394"/>
      <c r="D70" s="394"/>
      <c r="E70" s="395"/>
      <c r="F70" s="394"/>
      <c r="G70" s="395"/>
      <c r="H70" s="394"/>
      <c r="I70" s="1459"/>
      <c r="J70" s="394"/>
      <c r="K70" s="394"/>
      <c r="L70" s="394"/>
      <c r="M70" s="396"/>
      <c r="N70" s="394"/>
      <c r="O70" s="394"/>
      <c r="P70" s="394"/>
      <c r="Q70" s="394"/>
      <c r="R70" s="394"/>
      <c r="S70" s="394"/>
      <c r="T70" s="397"/>
      <c r="W70" s="274"/>
      <c r="X70" s="274"/>
    </row>
    <row r="71" spans="1:24">
      <c r="A71" s="408"/>
      <c r="B71" s="396" t="str">
        <f>'Kakamega Financials'!A41</f>
        <v>Directors Emoluments</v>
      </c>
      <c r="C71" s="399">
        <f>'Kakamega Financials'!B41</f>
        <v>4082975</v>
      </c>
      <c r="D71" s="400">
        <f>C71/$C$83</f>
        <v>1.9603744771258428E-2</v>
      </c>
      <c r="E71" s="230">
        <f>'Kakamega Financials'!C41</f>
        <v>3333980</v>
      </c>
      <c r="F71" s="400">
        <f>E71/$E$83</f>
        <v>1.3495588138668574E-2</v>
      </c>
      <c r="G71" s="246">
        <f>'Kakamega Financials'!D41</f>
        <v>2626601</v>
      </c>
      <c r="H71" s="400">
        <f>G71/$G$83</f>
        <v>1.1361372817625087E-2</v>
      </c>
      <c r="I71" s="1462">
        <f>'Kakamega Financials'!E41</f>
        <v>2606850</v>
      </c>
      <c r="J71" s="400">
        <f>I71/$I$83</f>
        <v>8.9592252758884418E-3</v>
      </c>
      <c r="K71" s="155">
        <f>I71*1.01</f>
        <v>2632918.5</v>
      </c>
      <c r="L71" s="400">
        <f>K71/$K$83</f>
        <v>9.1125300767374382E-3</v>
      </c>
      <c r="M71" s="155">
        <f>K71*1.01</f>
        <v>2659247.6850000001</v>
      </c>
      <c r="N71" s="400">
        <f>M71/$M$83</f>
        <v>9.0711446279257008E-3</v>
      </c>
      <c r="O71" s="155">
        <f>M71*1.01</f>
        <v>2685840.1618500003</v>
      </c>
      <c r="P71" s="400">
        <f>O71/$O$83</f>
        <v>9.0015588271893793E-3</v>
      </c>
      <c r="Q71" s="155">
        <f>O71*1.01</f>
        <v>2712698.5634685005</v>
      </c>
      <c r="R71" s="400">
        <f>Q71/$Q$83</f>
        <v>8.9350358374680316E-3</v>
      </c>
      <c r="S71" s="155">
        <f>Q71*1.01</f>
        <v>2739825.5491031855</v>
      </c>
      <c r="T71" s="400">
        <f>S71/$S$83</f>
        <v>8.8629888218934548E-3</v>
      </c>
      <c r="W71" s="274"/>
      <c r="X71" s="274"/>
    </row>
    <row r="72" spans="1:24">
      <c r="A72" s="412"/>
      <c r="B72" s="396" t="str">
        <f>'Kakamega Financials'!A42</f>
        <v>Honoraria</v>
      </c>
      <c r="C72" s="399">
        <f>'Kakamega Financials'!B42</f>
        <v>1020000</v>
      </c>
      <c r="D72" s="400">
        <f>C72/$C$83</f>
        <v>4.8973651973582E-3</v>
      </c>
      <c r="E72" s="246">
        <f>'Kakamega Financials'!C42</f>
        <v>680000</v>
      </c>
      <c r="F72" s="400">
        <f>E72/$E$83</f>
        <v>2.7525659824877867E-3</v>
      </c>
      <c r="G72" s="246">
        <f>'Kakamega Financials'!D42</f>
        <v>605000</v>
      </c>
      <c r="H72" s="400">
        <f>G72/$G$83</f>
        <v>2.6169298476103444E-3</v>
      </c>
      <c r="I72" s="1462">
        <f>'Kakamega Financials'!E42</f>
        <v>660000</v>
      </c>
      <c r="J72" s="400">
        <f>I72/$I$83</f>
        <v>2.2682888091322367E-3</v>
      </c>
      <c r="K72" s="155">
        <f>I72*1.01</f>
        <v>666600</v>
      </c>
      <c r="L72" s="400">
        <f>K72/$K$83</f>
        <v>2.3071023843515004E-3</v>
      </c>
      <c r="M72" s="155">
        <f>K72*1.01</f>
        <v>673266</v>
      </c>
      <c r="N72" s="400">
        <f>M72/$M$83</f>
        <v>2.296624452665463E-3</v>
      </c>
      <c r="O72" s="155">
        <f>M72*1.01</f>
        <v>679998.66</v>
      </c>
      <c r="P72" s="400">
        <f>O72/$O$83</f>
        <v>2.2790067805761706E-3</v>
      </c>
      <c r="Q72" s="155">
        <f>O72*1.01</f>
        <v>686798.64660000009</v>
      </c>
      <c r="R72" s="400">
        <f>Q72/$Q$83</f>
        <v>2.2621645482973321E-3</v>
      </c>
      <c r="S72" s="155">
        <f>Q72*1.01</f>
        <v>693666.63306600007</v>
      </c>
      <c r="T72" s="400">
        <f>S72/$S$83</f>
        <v>2.2439237479907471E-3</v>
      </c>
      <c r="W72" s="274">
        <f>E72/C72-1</f>
        <v>-0.33333333333333337</v>
      </c>
      <c r="X72" s="274">
        <f>G72/E72-1</f>
        <v>-0.11029411764705888</v>
      </c>
    </row>
    <row r="73" spans="1:24" s="144" customFormat="1">
      <c r="A73" s="408" t="s">
        <v>59</v>
      </c>
      <c r="B73" s="404" t="s">
        <v>58</v>
      </c>
      <c r="C73" s="159">
        <f t="shared" ref="C73:J73" si="40">SUM(C71:C72)</f>
        <v>5102975</v>
      </c>
      <c r="D73" s="409">
        <f t="shared" si="40"/>
        <v>2.4501109968616628E-2</v>
      </c>
      <c r="E73" s="310">
        <f t="shared" si="40"/>
        <v>4013980</v>
      </c>
      <c r="F73" s="409">
        <f t="shared" si="40"/>
        <v>1.624815412115636E-2</v>
      </c>
      <c r="G73" s="310">
        <f>SUM(G71:G72)</f>
        <v>3231601</v>
      </c>
      <c r="H73" s="409">
        <f>SUM(H71:H72)</f>
        <v>1.3978302665235431E-2</v>
      </c>
      <c r="I73" s="1463">
        <f>SUM(I71:I72)</f>
        <v>3266850</v>
      </c>
      <c r="J73" s="409">
        <f t="shared" si="40"/>
        <v>1.1227514085020679E-2</v>
      </c>
      <c r="K73" s="162">
        <f t="shared" ref="K73:T73" si="41">SUM(K71:K72)</f>
        <v>3299518.5</v>
      </c>
      <c r="L73" s="409">
        <f t="shared" si="41"/>
        <v>1.1419632461088939E-2</v>
      </c>
      <c r="M73" s="426">
        <f t="shared" si="41"/>
        <v>3332513.6850000001</v>
      </c>
      <c r="N73" s="409">
        <f t="shared" si="41"/>
        <v>1.1367769080591164E-2</v>
      </c>
      <c r="O73" s="162">
        <f t="shared" si="41"/>
        <v>3365838.8218500004</v>
      </c>
      <c r="P73" s="409">
        <f t="shared" si="41"/>
        <v>1.1280565607765549E-2</v>
      </c>
      <c r="Q73" s="162">
        <f t="shared" si="41"/>
        <v>3399497.2100685006</v>
      </c>
      <c r="R73" s="409">
        <f t="shared" si="41"/>
        <v>1.1197200385765363E-2</v>
      </c>
      <c r="S73" s="162">
        <f t="shared" si="41"/>
        <v>3433492.1821691855</v>
      </c>
      <c r="T73" s="409">
        <f t="shared" si="41"/>
        <v>1.1106912569884202E-2</v>
      </c>
      <c r="W73" s="274">
        <f>E73/C73-1</f>
        <v>-0.21340394573753541</v>
      </c>
      <c r="X73" s="274">
        <f>G73/E73-1</f>
        <v>-0.19491352722235789</v>
      </c>
    </row>
    <row r="74" spans="1:24">
      <c r="A74" s="412"/>
      <c r="B74" s="396"/>
      <c r="C74" s="394"/>
      <c r="D74" s="394"/>
      <c r="E74" s="395"/>
      <c r="F74" s="394"/>
      <c r="G74" s="395"/>
      <c r="H74" s="394"/>
      <c r="I74" s="1459"/>
      <c r="J74" s="394"/>
      <c r="K74" s="394"/>
      <c r="L74" s="394"/>
      <c r="M74" s="396"/>
      <c r="N74" s="394"/>
      <c r="O74" s="394"/>
      <c r="P74" s="394"/>
      <c r="Q74" s="394"/>
      <c r="R74" s="394"/>
      <c r="S74" s="394"/>
      <c r="T74" s="397"/>
      <c r="W74" s="274"/>
      <c r="X74" s="274"/>
    </row>
    <row r="75" spans="1:24">
      <c r="A75" s="412"/>
      <c r="B75" s="151" t="s">
        <v>417</v>
      </c>
      <c r="C75" s="394"/>
      <c r="D75" s="394"/>
      <c r="E75" s="395"/>
      <c r="F75" s="394"/>
      <c r="G75" s="395"/>
      <c r="H75" s="394"/>
      <c r="I75" s="1459"/>
      <c r="J75" s="394"/>
      <c r="K75" s="394"/>
      <c r="L75" s="394"/>
      <c r="M75" s="396"/>
      <c r="N75" s="394"/>
      <c r="O75" s="394"/>
      <c r="P75" s="394"/>
      <c r="Q75" s="394"/>
      <c r="R75" s="394"/>
      <c r="S75" s="394"/>
      <c r="T75" s="397"/>
      <c r="W75" s="274"/>
      <c r="X75" s="274"/>
    </row>
    <row r="76" spans="1:24">
      <c r="A76" s="425"/>
      <c r="B76" s="396" t="str">
        <f>'Kakamega Financials'!A78</f>
        <v>License fee(WASREB)</v>
      </c>
      <c r="C76" s="399">
        <f>'Kakamega Financials'!B78</f>
        <v>100000</v>
      </c>
      <c r="D76" s="400">
        <f>C76/$C$83</f>
        <v>4.8013384287825487E-4</v>
      </c>
      <c r="E76" s="246">
        <f>'Kakamega Financials'!C78</f>
        <v>7165403</v>
      </c>
      <c r="F76" s="400">
        <f>E76/$E$83</f>
        <v>2.9004771395023433E-2</v>
      </c>
      <c r="G76" s="246">
        <f>'Kakamega Financials'!D78</f>
        <v>8806880</v>
      </c>
      <c r="H76" s="400">
        <f>G76/$G$83</f>
        <v>3.8094193613756343E-2</v>
      </c>
      <c r="I76" s="1462">
        <f>'Kakamega Financials'!E9*0.04</f>
        <v>10061413.851600001</v>
      </c>
      <c r="J76" s="400">
        <f>I76/$I$83</f>
        <v>3.4579079460049025E-2</v>
      </c>
      <c r="K76" s="155">
        <f>0.04*'Annex 2'!H53</f>
        <v>18136187.209080439</v>
      </c>
      <c r="L76" s="400">
        <f>K76/$K$83</f>
        <v>6.2769338063478342E-2</v>
      </c>
      <c r="M76" s="218">
        <f>0.04*'Annex 2'!I53</f>
        <v>18246572.475755736</v>
      </c>
      <c r="N76" s="400">
        <f>M76/$M$83</f>
        <v>6.2242151727776571E-2</v>
      </c>
      <c r="O76" s="155">
        <f>M76*1.01</f>
        <v>18429038.200513292</v>
      </c>
      <c r="P76" s="400">
        <f>O76/$O$83</f>
        <v>6.1764684975213126E-2</v>
      </c>
      <c r="Q76" s="155">
        <f>0.04*'Annex 2'!J53</f>
        <v>18522353.499482557</v>
      </c>
      <c r="R76" s="400">
        <f>Q76/$Q$83</f>
        <v>6.1008581838344678E-2</v>
      </c>
      <c r="S76" s="155">
        <f>0.04*'Annex 2'!K53</f>
        <v>18798406.000990488</v>
      </c>
      <c r="T76" s="400">
        <f>S76/$S$83</f>
        <v>6.0810463757712319E-2</v>
      </c>
      <c r="W76" s="274">
        <f>E76/C76-1</f>
        <v>70.654030000000006</v>
      </c>
      <c r="X76" s="274">
        <f>G76/E76-1</f>
        <v>0.22908369564140352</v>
      </c>
    </row>
    <row r="77" spans="1:24" s="144" customFormat="1">
      <c r="A77" s="427" t="s">
        <v>60</v>
      </c>
      <c r="B77" s="151" t="s">
        <v>415</v>
      </c>
      <c r="C77" s="159">
        <f>SUM(C76:C76)</f>
        <v>100000</v>
      </c>
      <c r="D77" s="409">
        <f>SUM(D76:D76)</f>
        <v>4.8013384287825487E-4</v>
      </c>
      <c r="E77" s="410">
        <f>SUM(E76:E76)</f>
        <v>7165403</v>
      </c>
      <c r="F77" s="409">
        <f>SUM(F76)</f>
        <v>2.9004771395023433E-2</v>
      </c>
      <c r="G77" s="311">
        <f t="shared" ref="G77:T77" si="42">SUM(G76)</f>
        <v>8806880</v>
      </c>
      <c r="H77" s="409">
        <f t="shared" si="42"/>
        <v>3.8094193613756343E-2</v>
      </c>
      <c r="I77" s="1465">
        <f t="shared" si="42"/>
        <v>10061413.851600001</v>
      </c>
      <c r="J77" s="409">
        <f t="shared" si="42"/>
        <v>3.4579079460049025E-2</v>
      </c>
      <c r="K77" s="160">
        <f t="shared" si="42"/>
        <v>18136187.209080439</v>
      </c>
      <c r="L77" s="409">
        <f t="shared" si="42"/>
        <v>6.2769338063478342E-2</v>
      </c>
      <c r="M77" s="160">
        <f t="shared" si="42"/>
        <v>18246572.475755736</v>
      </c>
      <c r="N77" s="409">
        <f t="shared" si="42"/>
        <v>6.2242151727776571E-2</v>
      </c>
      <c r="O77" s="160">
        <f t="shared" si="42"/>
        <v>18429038.200513292</v>
      </c>
      <c r="P77" s="409">
        <f t="shared" si="42"/>
        <v>6.1764684975213126E-2</v>
      </c>
      <c r="Q77" s="160">
        <f t="shared" si="42"/>
        <v>18522353.499482557</v>
      </c>
      <c r="R77" s="409">
        <f t="shared" si="42"/>
        <v>6.1008581838344678E-2</v>
      </c>
      <c r="S77" s="160">
        <f t="shared" si="42"/>
        <v>18798406.000990488</v>
      </c>
      <c r="T77" s="409">
        <f t="shared" si="42"/>
        <v>6.0810463757712319E-2</v>
      </c>
      <c r="W77" s="411">
        <f>E77/C77-1</f>
        <v>70.654030000000006</v>
      </c>
      <c r="X77" s="411">
        <f>G77/E77-1</f>
        <v>0.22908369564140352</v>
      </c>
    </row>
    <row r="78" spans="1:24">
      <c r="A78" s="425"/>
      <c r="B78" s="396"/>
      <c r="C78" s="394"/>
      <c r="D78" s="394"/>
      <c r="E78" s="395"/>
      <c r="F78" s="394"/>
      <c r="G78" s="395"/>
      <c r="H78" s="394"/>
      <c r="I78" s="1459"/>
      <c r="J78" s="394"/>
      <c r="K78" s="394"/>
      <c r="L78" s="394"/>
      <c r="M78" s="396"/>
      <c r="N78" s="394"/>
      <c r="O78" s="394"/>
      <c r="P78" s="394"/>
      <c r="Q78" s="394"/>
      <c r="R78" s="394"/>
      <c r="S78" s="394"/>
      <c r="T78" s="397"/>
      <c r="W78" s="274"/>
      <c r="X78" s="274"/>
    </row>
    <row r="79" spans="1:24" s="421" customFormat="1">
      <c r="B79" s="404" t="s">
        <v>62</v>
      </c>
      <c r="C79" s="407"/>
      <c r="D79" s="407"/>
      <c r="E79" s="417"/>
      <c r="F79" s="407"/>
      <c r="G79" s="417"/>
      <c r="H79" s="407"/>
      <c r="I79" s="1466"/>
      <c r="J79" s="407"/>
      <c r="K79" s="1771">
        <v>0</v>
      </c>
      <c r="L79" s="407"/>
      <c r="M79" s="1772">
        <f>K79</f>
        <v>0</v>
      </c>
      <c r="N79" s="407"/>
      <c r="O79" s="1772">
        <f>M79</f>
        <v>0</v>
      </c>
      <c r="P79" s="407"/>
      <c r="Q79" s="1772">
        <f>O79</f>
        <v>0</v>
      </c>
      <c r="R79" s="407"/>
      <c r="S79" s="1772">
        <f>Q79</f>
        <v>0</v>
      </c>
      <c r="T79" s="428"/>
      <c r="W79" s="422"/>
      <c r="X79" s="422"/>
    </row>
    <row r="80" spans="1:24" s="1769" customFormat="1">
      <c r="A80" s="1764"/>
      <c r="B80" s="1765"/>
      <c r="C80" s="1765"/>
      <c r="D80" s="1789">
        <f>C80/$C$83</f>
        <v>0</v>
      </c>
      <c r="E80" s="1767"/>
      <c r="F80" s="1789">
        <f>E80/$C$83</f>
        <v>0</v>
      </c>
      <c r="G80" s="1767"/>
      <c r="H80" s="1789">
        <f>G80/$C$83</f>
        <v>0</v>
      </c>
      <c r="I80" s="1767">
        <v>0</v>
      </c>
      <c r="J80" s="1766"/>
      <c r="K80" s="1773">
        <f>SUM(K79)</f>
        <v>0</v>
      </c>
      <c r="L80" s="1766">
        <f>K80/$K$83</f>
        <v>0</v>
      </c>
      <c r="M80" s="1773">
        <f>SUM(M79)</f>
        <v>0</v>
      </c>
      <c r="N80" s="1766">
        <f>M80/$M$83</f>
        <v>0</v>
      </c>
      <c r="O80" s="1773">
        <f>SUM(O79)</f>
        <v>0</v>
      </c>
      <c r="P80" s="1766">
        <f>O80/$O$83</f>
        <v>0</v>
      </c>
      <c r="Q80" s="1773">
        <f>SUM(Q79)</f>
        <v>0</v>
      </c>
      <c r="R80" s="1766">
        <f>Q80/$Q$83</f>
        <v>0</v>
      </c>
      <c r="S80" s="1773">
        <f>SUM(S79)</f>
        <v>0</v>
      </c>
      <c r="T80" s="1768">
        <f>S80/$S$83</f>
        <v>0</v>
      </c>
      <c r="U80" s="1769" t="s">
        <v>1025</v>
      </c>
      <c r="W80" s="1770" t="e">
        <f>E80/C80-1</f>
        <v>#DIV/0!</v>
      </c>
      <c r="X80" s="1770" t="e">
        <f>G80/E80-1</f>
        <v>#DIV/0!</v>
      </c>
    </row>
    <row r="81" spans="1:24" s="144" customFormat="1">
      <c r="A81" s="408"/>
      <c r="B81" s="404" t="s">
        <v>352</v>
      </c>
      <c r="C81" s="159">
        <f>SUM(C80:C80)</f>
        <v>0</v>
      </c>
      <c r="D81" s="409">
        <f>SUM(D80:D80)</f>
        <v>0</v>
      </c>
      <c r="E81" s="310">
        <f>SUM(E80:E80)</f>
        <v>0</v>
      </c>
      <c r="F81" s="409">
        <f>SUM(F80:F80)</f>
        <v>0</v>
      </c>
      <c r="G81" s="310">
        <f>SUM(G80)</f>
        <v>0</v>
      </c>
      <c r="H81" s="409">
        <f>SUM(H80)</f>
        <v>0</v>
      </c>
      <c r="I81" s="1463">
        <f>SUM(I80:I80)</f>
        <v>0</v>
      </c>
      <c r="J81" s="409">
        <f>SUM(J80)</f>
        <v>0</v>
      </c>
      <c r="K81" s="162">
        <f>SUM(K80:K80)</f>
        <v>0</v>
      </c>
      <c r="L81" s="409">
        <f>SUM(L80)</f>
        <v>0</v>
      </c>
      <c r="M81" s="426">
        <f>SUM(M80:M80)</f>
        <v>0</v>
      </c>
      <c r="N81" s="409">
        <f>SUM(N80:N80)</f>
        <v>0</v>
      </c>
      <c r="O81" s="162">
        <f>SUM(O80:O80)</f>
        <v>0</v>
      </c>
      <c r="P81" s="409">
        <f>SUM(P80)</f>
        <v>0</v>
      </c>
      <c r="Q81" s="162">
        <f>SUM(Q80:Q80)</f>
        <v>0</v>
      </c>
      <c r="R81" s="429">
        <f>SUM(R80:R80)</f>
        <v>0</v>
      </c>
      <c r="S81" s="162">
        <f>SUM(S80:S80)</f>
        <v>0</v>
      </c>
      <c r="T81" s="430">
        <f>SUM(T80:T80)</f>
        <v>0</v>
      </c>
      <c r="W81" s="411" t="e">
        <f>E81/C81-1</f>
        <v>#DIV/0!</v>
      </c>
      <c r="X81" s="411" t="e">
        <f>G81/E81-1</f>
        <v>#DIV/0!</v>
      </c>
    </row>
    <row r="82" spans="1:24">
      <c r="A82" s="425"/>
      <c r="B82" s="394"/>
      <c r="C82" s="394"/>
      <c r="D82" s="394"/>
      <c r="E82" s="395"/>
      <c r="F82" s="394"/>
      <c r="G82" s="395"/>
      <c r="H82" s="394"/>
      <c r="I82" s="1459"/>
      <c r="J82" s="394"/>
      <c r="K82" s="394"/>
      <c r="L82" s="394"/>
      <c r="M82" s="396"/>
      <c r="N82" s="394"/>
      <c r="O82" s="394"/>
      <c r="P82" s="394"/>
      <c r="Q82" s="394"/>
      <c r="R82" s="394"/>
      <c r="S82" s="394"/>
      <c r="T82" s="397"/>
      <c r="W82" s="274"/>
      <c r="X82" s="274"/>
    </row>
    <row r="83" spans="1:24" s="144" customFormat="1">
      <c r="A83" s="408" t="s">
        <v>61</v>
      </c>
      <c r="B83" s="404" t="s">
        <v>941</v>
      </c>
      <c r="C83" s="159">
        <f t="shared" ref="C83:T83" si="43">C5+C36+C41+C68+C73+C77+C81</f>
        <v>208275258</v>
      </c>
      <c r="D83" s="431">
        <f t="shared" ca="1" si="43"/>
        <v>0</v>
      </c>
      <c r="E83" s="159">
        <f t="shared" si="43"/>
        <v>247042216</v>
      </c>
      <c r="F83" s="431">
        <f t="shared" ca="1" si="43"/>
        <v>0</v>
      </c>
      <c r="G83" s="159">
        <f t="shared" si="43"/>
        <v>231186938.59999999</v>
      </c>
      <c r="H83" s="431">
        <f t="shared" si="43"/>
        <v>0.94768939511360439</v>
      </c>
      <c r="I83" s="1461">
        <f t="shared" si="43"/>
        <v>290968238.85159999</v>
      </c>
      <c r="J83" s="431">
        <f t="shared" si="43"/>
        <v>0.96779511043203836</v>
      </c>
      <c r="K83" s="159">
        <f t="shared" si="43"/>
        <v>288933861.15908051</v>
      </c>
      <c r="L83" s="431">
        <f t="shared" si="43"/>
        <v>0.99999999999999978</v>
      </c>
      <c r="M83" s="159">
        <f t="shared" si="43"/>
        <v>293154590.08485574</v>
      </c>
      <c r="N83" s="431">
        <f t="shared" si="43"/>
        <v>0.99999999999999989</v>
      </c>
      <c r="O83" s="159">
        <f t="shared" si="43"/>
        <v>298375005.19769633</v>
      </c>
      <c r="P83" s="431">
        <f t="shared" si="43"/>
        <v>1</v>
      </c>
      <c r="Q83" s="159">
        <f t="shared" si="43"/>
        <v>303602426.7628693</v>
      </c>
      <c r="R83" s="431">
        <f t="shared" si="43"/>
        <v>0.99999999999999978</v>
      </c>
      <c r="S83" s="159">
        <f t="shared" si="43"/>
        <v>309131107.36811918</v>
      </c>
      <c r="T83" s="431">
        <f t="shared" si="43"/>
        <v>0.99999999999999978</v>
      </c>
      <c r="W83" s="411">
        <f>E83/C83-1</f>
        <v>0.18613328521239914</v>
      </c>
      <c r="X83" s="411">
        <f>G83/E83-1</f>
        <v>-6.4180437079628505E-2</v>
      </c>
    </row>
    <row r="84" spans="1:24">
      <c r="A84" s="408"/>
      <c r="B84" s="151" t="s">
        <v>925</v>
      </c>
      <c r="C84" s="159">
        <f>C83-C81</f>
        <v>208275258</v>
      </c>
      <c r="D84" s="394"/>
      <c r="E84" s="159">
        <f>E83-E81</f>
        <v>247042216</v>
      </c>
      <c r="F84" s="394"/>
      <c r="G84" s="159">
        <f>G83-G81</f>
        <v>231186938.59999999</v>
      </c>
      <c r="H84" s="394"/>
      <c r="I84" s="1465">
        <f>I83-I81</f>
        <v>290968238.85159999</v>
      </c>
      <c r="J84" s="394"/>
      <c r="K84" s="159">
        <f>K83-K81</f>
        <v>288933861.15908051</v>
      </c>
      <c r="L84" s="394"/>
      <c r="M84" s="159">
        <f>M83-M81</f>
        <v>293154590.08485574</v>
      </c>
      <c r="N84" s="394"/>
      <c r="O84" s="159">
        <f>O83-O81</f>
        <v>298375005.19769633</v>
      </c>
      <c r="P84" s="394"/>
      <c r="Q84" s="159">
        <f>Q83-Q81</f>
        <v>303602426.7628693</v>
      </c>
      <c r="R84" s="394"/>
      <c r="S84" s="159">
        <f>S83-S81</f>
        <v>309131107.36811918</v>
      </c>
      <c r="T84" s="397"/>
      <c r="W84" s="274"/>
    </row>
    <row r="85" spans="1:24">
      <c r="B85" s="392" t="s">
        <v>63</v>
      </c>
      <c r="C85" s="394"/>
      <c r="D85" s="394"/>
      <c r="E85" s="395"/>
      <c r="F85" s="394"/>
      <c r="G85" s="395"/>
      <c r="H85" s="394"/>
      <c r="I85" s="1459"/>
      <c r="J85" s="394"/>
      <c r="K85" s="395"/>
      <c r="L85" s="394"/>
      <c r="M85" s="415"/>
      <c r="N85" s="394"/>
      <c r="O85" s="395"/>
      <c r="P85" s="394"/>
      <c r="Q85" s="395"/>
      <c r="R85" s="394"/>
      <c r="S85" s="395"/>
      <c r="T85" s="397"/>
      <c r="W85" s="274"/>
    </row>
    <row r="86" spans="1:24" s="1675" customFormat="1" ht="17.25" customHeight="1">
      <c r="A86" s="1684"/>
      <c r="B86" s="1685" t="str">
        <f>' Investments 2021-26'!D3</f>
        <v>To Increase water production and supply</v>
      </c>
      <c r="C86" s="1685"/>
      <c r="D86" s="1685"/>
      <c r="E86" s="1671"/>
      <c r="F86" s="1685"/>
      <c r="G86" s="1671"/>
      <c r="H86" s="1685"/>
      <c r="I86" s="1671"/>
      <c r="J86" s="1685"/>
      <c r="K86" s="1671">
        <f>' Investments 2021-26'!E3</f>
        <v>1000000</v>
      </c>
      <c r="L86" s="1685"/>
      <c r="M86" s="1683">
        <f>' Investments 2021-26'!F3</f>
        <v>2000000</v>
      </c>
      <c r="N86" s="1685"/>
      <c r="O86" s="1671">
        <f>' Investments 2021-26'!G3</f>
        <v>3000000</v>
      </c>
      <c r="P86" s="1685"/>
      <c r="Q86" s="1671">
        <f>' Investments 2021-26'!H3</f>
        <v>4000000</v>
      </c>
      <c r="R86" s="1685"/>
      <c r="S86" s="1671">
        <f>' Investments 2021-26'!I3</f>
        <v>11000000</v>
      </c>
      <c r="T86" s="1686"/>
      <c r="U86" s="1873" t="s">
        <v>1018</v>
      </c>
    </row>
    <row r="87" spans="1:24" s="1675" customFormat="1">
      <c r="A87" s="1684"/>
      <c r="B87" s="1685" t="str">
        <f>' Investments 2021-26'!D4</f>
        <v>To increase sanitation coverage</v>
      </c>
      <c r="C87" s="1685"/>
      <c r="D87" s="1685"/>
      <c r="E87" s="1671"/>
      <c r="F87" s="1685"/>
      <c r="G87" s="1671"/>
      <c r="H87" s="1685"/>
      <c r="I87" s="1671"/>
      <c r="J87" s="1685"/>
      <c r="K87" s="1671">
        <f>' Investments 2021-26'!E4</f>
        <v>500000</v>
      </c>
      <c r="L87" s="1685"/>
      <c r="M87" s="1683">
        <f>' Investments 2021-26'!F4</f>
        <v>1000000</v>
      </c>
      <c r="N87" s="1685"/>
      <c r="O87" s="1671">
        <f>' Investments 2021-26'!G4</f>
        <v>1500000</v>
      </c>
      <c r="P87" s="1685"/>
      <c r="Q87" s="1671">
        <f>' Investments 2021-26'!H4</f>
        <v>2000000</v>
      </c>
      <c r="R87" s="1685"/>
      <c r="S87" s="1671">
        <f>' Investments 2021-26'!I4</f>
        <v>8000000</v>
      </c>
      <c r="T87" s="1686"/>
      <c r="U87" s="1873"/>
    </row>
    <row r="88" spans="1:24" s="1675" customFormat="1" ht="15" customHeight="1">
      <c r="A88" s="1684"/>
      <c r="B88" s="1685" t="str">
        <f>' Investments 2021-26'!D5</f>
        <v>Reduce operational costs/ Solarization</v>
      </c>
      <c r="C88" s="1685"/>
      <c r="D88" s="1685"/>
      <c r="E88" s="1671"/>
      <c r="F88" s="1685"/>
      <c r="G88" s="1671"/>
      <c r="H88" s="1685"/>
      <c r="I88" s="1671"/>
      <c r="J88" s="1685"/>
      <c r="K88" s="1671">
        <f>' Investments 2021-26'!E5</f>
        <v>500000</v>
      </c>
      <c r="L88" s="1685"/>
      <c r="M88" s="1683">
        <f>' Investments 2021-26'!F5</f>
        <v>1000000</v>
      </c>
      <c r="N88" s="1685"/>
      <c r="O88" s="1671">
        <f>' Investments 2021-26'!G5</f>
        <v>1500000</v>
      </c>
      <c r="P88" s="1685"/>
      <c r="Q88" s="1671">
        <f>' Investments 2021-26'!H5</f>
        <v>2000000</v>
      </c>
      <c r="R88" s="1685"/>
      <c r="S88" s="1671">
        <f>' Investments 2021-26'!I5</f>
        <v>2000000</v>
      </c>
      <c r="T88" s="1686"/>
      <c r="U88" s="1873"/>
    </row>
    <row r="89" spans="1:24" s="1675" customFormat="1">
      <c r="A89" s="1684"/>
      <c r="B89" s="1685" t="str">
        <f>' Investments 2021-26'!D6</f>
        <v>Reduction of NRW</v>
      </c>
      <c r="C89" s="1685"/>
      <c r="D89" s="1685"/>
      <c r="E89" s="1671"/>
      <c r="F89" s="1685"/>
      <c r="G89" s="1671"/>
      <c r="H89" s="1685"/>
      <c r="I89" s="1671"/>
      <c r="J89" s="1685"/>
      <c r="K89" s="1671">
        <f>' Investments 2021-26'!E6</f>
        <v>3400000</v>
      </c>
      <c r="L89" s="1685"/>
      <c r="M89" s="1683">
        <f>' Investments 2021-26'!F6</f>
        <v>7300000</v>
      </c>
      <c r="N89" s="1685"/>
      <c r="O89" s="1671">
        <f>' Investments 2021-26'!G6</f>
        <v>11000000</v>
      </c>
      <c r="P89" s="1685"/>
      <c r="Q89" s="1671">
        <f>' Investments 2021-26'!H6</f>
        <v>13500000</v>
      </c>
      <c r="R89" s="1685"/>
      <c r="S89" s="1671">
        <f>' Investments 2021-26'!I6</f>
        <v>15500000</v>
      </c>
      <c r="T89" s="1686"/>
      <c r="U89" s="1873"/>
    </row>
    <row r="90" spans="1:24" s="1675" customFormat="1">
      <c r="A90" s="1684"/>
      <c r="B90" s="1685" t="str">
        <f>' Investments 2021-26'!D7</f>
        <v>To enhance water quality and sewer effluent quality</v>
      </c>
      <c r="C90" s="1685"/>
      <c r="D90" s="1685"/>
      <c r="E90" s="1671"/>
      <c r="F90" s="1685"/>
      <c r="G90" s="1671"/>
      <c r="H90" s="1685"/>
      <c r="I90" s="1671"/>
      <c r="J90" s="1685"/>
      <c r="K90" s="1671">
        <f>' Investments 2021-26'!E7</f>
        <v>500000</v>
      </c>
      <c r="L90" s="1685"/>
      <c r="M90" s="1683">
        <f>' Investments 2021-26'!F7</f>
        <v>400000</v>
      </c>
      <c r="N90" s="1685"/>
      <c r="O90" s="1671">
        <f>' Investments 2021-26'!G7</f>
        <v>600000</v>
      </c>
      <c r="P90" s="1685"/>
      <c r="Q90" s="1671">
        <f>' Investments 2021-26'!H7</f>
        <v>800000</v>
      </c>
      <c r="R90" s="1685"/>
      <c r="S90" s="1671">
        <f>' Investments 2021-26'!I7</f>
        <v>1000000</v>
      </c>
      <c r="T90" s="1686"/>
      <c r="U90" s="1873"/>
    </row>
    <row r="91" spans="1:24">
      <c r="A91" s="425"/>
      <c r="B91" s="151" t="s">
        <v>22</v>
      </c>
      <c r="C91" s="394">
        <v>0</v>
      </c>
      <c r="D91" s="394"/>
      <c r="E91" s="410">
        <v>0</v>
      </c>
      <c r="F91" s="394"/>
      <c r="G91" s="410"/>
      <c r="H91" s="394"/>
      <c r="I91" s="1461"/>
      <c r="J91" s="159"/>
      <c r="K91" s="410">
        <f>SUM(K86:K90)</f>
        <v>5900000</v>
      </c>
      <c r="L91" s="159"/>
      <c r="M91" s="410">
        <f>SUM(M86:M90)</f>
        <v>11700000</v>
      </c>
      <c r="N91" s="159"/>
      <c r="O91" s="410">
        <f>SUM(O86:O90)</f>
        <v>17600000</v>
      </c>
      <c r="P91" s="394"/>
      <c r="Q91" s="410">
        <f>SUM(Q86:Q90)</f>
        <v>22300000</v>
      </c>
      <c r="R91" s="394"/>
      <c r="S91" s="410">
        <f>SUM(S86:S90)</f>
        <v>37500000</v>
      </c>
      <c r="T91" s="397"/>
    </row>
    <row r="92" spans="1:24">
      <c r="A92" s="425"/>
      <c r="B92" s="394"/>
      <c r="C92" s="394"/>
      <c r="D92" s="394"/>
      <c r="E92" s="395"/>
      <c r="F92" s="394"/>
      <c r="G92" s="395"/>
      <c r="H92" s="394"/>
      <c r="I92" s="1459"/>
      <c r="J92" s="394"/>
      <c r="K92" s="395"/>
      <c r="L92" s="394"/>
      <c r="M92" s="415"/>
      <c r="N92" s="394"/>
      <c r="O92" s="395"/>
      <c r="P92" s="394"/>
      <c r="Q92" s="395"/>
      <c r="R92" s="394"/>
      <c r="S92" s="395"/>
      <c r="T92" s="397"/>
    </row>
    <row r="93" spans="1:24">
      <c r="A93" s="392"/>
      <c r="B93" s="404"/>
      <c r="C93" s="394"/>
      <c r="D93" s="394"/>
      <c r="E93" s="395"/>
      <c r="F93" s="394"/>
      <c r="G93" s="395"/>
      <c r="H93" s="394"/>
      <c r="I93" s="1459"/>
      <c r="J93" s="394"/>
      <c r="K93" s="395"/>
      <c r="L93" s="394"/>
      <c r="M93" s="415"/>
      <c r="N93" s="394"/>
      <c r="O93" s="395"/>
      <c r="P93" s="394"/>
      <c r="Q93" s="395"/>
      <c r="R93" s="394"/>
      <c r="S93" s="395"/>
      <c r="T93" s="397"/>
    </row>
    <row r="94" spans="1:24">
      <c r="A94" s="425"/>
      <c r="B94" s="396" t="s">
        <v>418</v>
      </c>
      <c r="C94" s="155"/>
      <c r="D94" s="394"/>
      <c r="E94" s="246"/>
      <c r="F94" s="394"/>
      <c r="G94" s="246"/>
      <c r="H94" s="394"/>
      <c r="I94" s="1462">
        <v>0</v>
      </c>
      <c r="J94" s="394"/>
      <c r="K94" s="155">
        <f>'Annex 4 Debt WSP'!I29</f>
        <v>99867330.398400009</v>
      </c>
      <c r="L94" s="394"/>
      <c r="M94" s="155">
        <f>'Annex 4 Debt WSP'!J27</f>
        <v>198137168.43839997</v>
      </c>
      <c r="N94" s="394"/>
      <c r="O94" s="155">
        <f>'Annex 4 Debt WSP'!K27</f>
        <v>196539676.07999998</v>
      </c>
      <c r="P94" s="394"/>
      <c r="Q94" s="155">
        <f>'Annex 4 Debt WSP'!L27</f>
        <v>194942183.7216</v>
      </c>
      <c r="R94" s="394"/>
      <c r="S94" s="155">
        <f>'Annex 4 Debt WSP'!M27</f>
        <v>193344691.36320001</v>
      </c>
      <c r="T94" s="394"/>
    </row>
    <row r="95" spans="1:24">
      <c r="A95" s="425"/>
      <c r="B95" s="151" t="s">
        <v>22</v>
      </c>
      <c r="C95" s="160">
        <f>SUM(C94)</f>
        <v>0</v>
      </c>
      <c r="D95" s="394"/>
      <c r="E95" s="311">
        <f>SUM(E94)</f>
        <v>0</v>
      </c>
      <c r="F95" s="394"/>
      <c r="G95" s="311">
        <f>SUM(G94)</f>
        <v>0</v>
      </c>
      <c r="H95" s="394"/>
      <c r="I95" s="1465">
        <f>SUM(I94)</f>
        <v>0</v>
      </c>
      <c r="J95" s="395"/>
      <c r="K95" s="160">
        <f>SUM(K94)</f>
        <v>99867330.398400009</v>
      </c>
      <c r="L95" s="395"/>
      <c r="M95" s="160">
        <f>'Annex 4 Debt WSP'!J29</f>
        <v>99068584.219199985</v>
      </c>
      <c r="N95" s="395"/>
      <c r="O95" s="160">
        <f>'Annex 4 Debt WSP'!K29</f>
        <v>98269838.039999992</v>
      </c>
      <c r="P95" s="395"/>
      <c r="Q95" s="160">
        <f>'Annex 4 Debt WSP'!L29</f>
        <v>97471091.860799998</v>
      </c>
      <c r="R95" s="395"/>
      <c r="S95" s="160">
        <f>'Annex 4 Debt WSP'!M29</f>
        <v>96672345.681600004</v>
      </c>
      <c r="T95" s="397"/>
    </row>
    <row r="96" spans="1:24">
      <c r="A96" s="425"/>
      <c r="B96" s="394"/>
      <c r="C96" s="394"/>
      <c r="D96" s="394"/>
      <c r="E96" s="395"/>
      <c r="F96" s="394"/>
      <c r="G96" s="395"/>
      <c r="H96" s="394"/>
      <c r="I96" s="1459"/>
      <c r="J96" s="394"/>
      <c r="K96" s="394"/>
      <c r="L96" s="394"/>
      <c r="M96" s="396"/>
      <c r="N96" s="394"/>
      <c r="O96" s="394"/>
      <c r="P96" s="394"/>
      <c r="Q96" s="394"/>
      <c r="R96" s="394"/>
      <c r="S96" s="394"/>
      <c r="T96" s="397"/>
    </row>
    <row r="97" spans="1:20" s="144" customFormat="1">
      <c r="B97" s="392" t="s">
        <v>66</v>
      </c>
      <c r="C97" s="159">
        <f>C84+C91+C95</f>
        <v>208275258</v>
      </c>
      <c r="D97" s="151"/>
      <c r="E97" s="159">
        <f>E84+E91+E95</f>
        <v>247042216</v>
      </c>
      <c r="F97" s="151"/>
      <c r="G97" s="159">
        <f>G84+G91+G95</f>
        <v>231186938.59999999</v>
      </c>
      <c r="H97" s="151"/>
      <c r="I97" s="1461">
        <f>I84+I91+I95</f>
        <v>290968238.85159999</v>
      </c>
      <c r="J97" s="151"/>
      <c r="K97" s="410">
        <f>K84+K91+K95</f>
        <v>394701191.55748051</v>
      </c>
      <c r="L97" s="151"/>
      <c r="M97" s="410">
        <f>M84+M91+M95</f>
        <v>403923174.30405569</v>
      </c>
      <c r="N97" s="151"/>
      <c r="O97" s="410">
        <f>O84+O91+O95</f>
        <v>414244843.23769629</v>
      </c>
      <c r="P97" s="151"/>
      <c r="Q97" s="410">
        <f>Q84+Q91+Q95</f>
        <v>423373518.62366927</v>
      </c>
      <c r="R97" s="151"/>
      <c r="S97" s="410">
        <f>S84+S91+S95</f>
        <v>443303453.04971921</v>
      </c>
      <c r="T97" s="432"/>
    </row>
    <row r="98" spans="1:20">
      <c r="A98" s="425"/>
      <c r="B98" s="394"/>
      <c r="C98" s="394"/>
      <c r="D98" s="394"/>
      <c r="E98" s="395"/>
      <c r="F98" s="394"/>
      <c r="G98" s="395"/>
      <c r="H98" s="394"/>
      <c r="I98" s="1459"/>
      <c r="J98" s="394"/>
      <c r="K98" s="394"/>
      <c r="L98" s="394"/>
      <c r="M98" s="396"/>
      <c r="N98" s="394"/>
      <c r="O98" s="394"/>
      <c r="P98" s="394"/>
      <c r="Q98" s="394"/>
      <c r="R98" s="394"/>
      <c r="S98" s="394"/>
      <c r="T98" s="397"/>
    </row>
    <row r="99" spans="1:20">
      <c r="B99" s="392" t="s">
        <v>67</v>
      </c>
      <c r="C99" s="394"/>
      <c r="D99" s="394"/>
      <c r="E99" s="395"/>
      <c r="F99" s="394"/>
      <c r="G99" s="395"/>
      <c r="H99" s="394"/>
      <c r="I99" s="1459"/>
      <c r="J99" s="394"/>
      <c r="K99" s="394"/>
      <c r="L99" s="394"/>
      <c r="M99" s="396"/>
      <c r="N99" s="394"/>
      <c r="O99" s="394"/>
      <c r="P99" s="394"/>
      <c r="Q99" s="394"/>
      <c r="R99" s="394"/>
      <c r="S99" s="394"/>
      <c r="T99" s="397"/>
    </row>
    <row r="100" spans="1:20" s="1675" customFormat="1">
      <c r="A100" s="1859"/>
      <c r="B100" s="1860"/>
      <c r="C100" s="1860"/>
      <c r="D100" s="1860"/>
      <c r="E100" s="1860"/>
      <c r="F100" s="1860"/>
      <c r="G100" s="1860"/>
      <c r="H100" s="1860"/>
      <c r="I100" s="1861">
        <f>'Annex 3a - Water'!J88+'Annex 3a- Sewer'!J87</f>
        <v>290968238.85159999</v>
      </c>
      <c r="J100" s="1860"/>
      <c r="K100" s="1861">
        <f>'Annex 3a - Water'!K88+'Annex 3a- Sewer'!K87</f>
        <v>394701191.55748045</v>
      </c>
      <c r="L100" s="1860"/>
      <c r="M100" s="1862">
        <f>'Annex 3a - Water'!L88+'Annex 3a- Sewer'!L87</f>
        <v>502991758.52325571</v>
      </c>
      <c r="N100" s="1860"/>
      <c r="O100" s="1861">
        <f>'Annex 3a - Water'!M88+'Annex 3a- Sewer'!M87</f>
        <v>512514681.27769625</v>
      </c>
      <c r="P100" s="1860"/>
      <c r="Q100" s="1861">
        <f>'Annex 3a - Water'!N88+'Annex 3a- Sewer'!N87</f>
        <v>520844610.48446929</v>
      </c>
      <c r="R100" s="1860"/>
      <c r="S100" s="1861">
        <f>'Annex 3a - Water'!O88+'Annex 3a- Sewer'!O87</f>
        <v>539975798.73131919</v>
      </c>
      <c r="T100" s="1863"/>
    </row>
    <row r="101" spans="1:20" s="421" customFormat="1">
      <c r="A101" s="406"/>
      <c r="B101" s="1854" t="s">
        <v>1115</v>
      </c>
      <c r="C101" s="1854"/>
      <c r="D101" s="1854"/>
      <c r="E101" s="1855"/>
      <c r="F101" s="1854"/>
      <c r="G101" s="1855"/>
      <c r="H101" s="1854"/>
      <c r="I101" s="1856">
        <f>I97-I100</f>
        <v>0</v>
      </c>
      <c r="J101" s="1854"/>
      <c r="K101" s="1857">
        <f>K97-K100</f>
        <v>0</v>
      </c>
      <c r="L101" s="1854"/>
      <c r="M101" s="1857">
        <f>M100-M97</f>
        <v>99068584.219200015</v>
      </c>
      <c r="N101" s="1854"/>
      <c r="O101" s="1857">
        <f>O100-O97</f>
        <v>98269838.039999962</v>
      </c>
      <c r="P101" s="1854"/>
      <c r="Q101" s="1857">
        <f>Q100-Q97</f>
        <v>97471091.860800028</v>
      </c>
      <c r="R101" s="1854"/>
      <c r="S101" s="1857">
        <f>S97-S100</f>
        <v>-96672345.681599975</v>
      </c>
      <c r="T101" s="1858"/>
    </row>
    <row r="102" spans="1:20">
      <c r="A102" s="425"/>
      <c r="B102" s="264"/>
      <c r="C102" s="436">
        <v>246413173</v>
      </c>
      <c r="D102" s="264"/>
      <c r="E102" s="433"/>
      <c r="F102" s="264"/>
      <c r="G102" s="433"/>
      <c r="H102" s="264"/>
      <c r="I102" s="1467"/>
      <c r="J102" s="264"/>
      <c r="K102" s="264"/>
      <c r="L102" s="264"/>
      <c r="M102" s="434"/>
      <c r="N102" s="264"/>
      <c r="O102" s="264"/>
      <c r="P102" s="264"/>
      <c r="Q102" s="264"/>
      <c r="R102" s="264"/>
      <c r="S102" s="264"/>
      <c r="T102" s="435"/>
    </row>
    <row r="103" spans="1:20">
      <c r="A103" s="425"/>
      <c r="B103" s="264"/>
      <c r="C103" s="437">
        <f>C97-C102</f>
        <v>-38137915</v>
      </c>
      <c r="D103" s="264"/>
      <c r="E103" s="433"/>
      <c r="F103" s="264"/>
      <c r="G103" s="433"/>
      <c r="H103" s="264"/>
      <c r="I103" s="1467"/>
      <c r="J103" s="264"/>
      <c r="K103" s="264"/>
      <c r="L103" s="264"/>
      <c r="M103" s="434"/>
      <c r="N103" s="264"/>
      <c r="O103" s="264"/>
      <c r="P103" s="264"/>
      <c r="Q103" s="264"/>
      <c r="R103" s="264"/>
      <c r="S103" s="264"/>
      <c r="T103" s="435"/>
    </row>
    <row r="104" spans="1:20">
      <c r="A104" s="405"/>
      <c r="B104" s="438" t="s">
        <v>68</v>
      </c>
      <c r="C104" s="434"/>
      <c r="D104" s="434"/>
      <c r="E104" s="433"/>
      <c r="F104" s="439"/>
      <c r="G104" s="433"/>
      <c r="H104" s="264"/>
      <c r="I104" s="1467"/>
      <c r="J104" s="264"/>
      <c r="K104" s="264"/>
      <c r="L104" s="264"/>
      <c r="M104" s="434"/>
      <c r="N104" s="264"/>
      <c r="O104" s="264"/>
      <c r="P104" s="264"/>
      <c r="Q104" s="264"/>
      <c r="R104" s="264"/>
      <c r="S104" s="264"/>
      <c r="T104" s="435"/>
    </row>
    <row r="105" spans="1:20">
      <c r="A105" s="405"/>
      <c r="B105" s="434"/>
      <c r="C105" s="434"/>
      <c r="D105" s="434"/>
      <c r="E105" s="433"/>
      <c r="F105" s="439"/>
      <c r="G105" s="433"/>
      <c r="H105" s="264"/>
      <c r="I105" s="1467"/>
      <c r="J105" s="264"/>
      <c r="K105" s="264"/>
      <c r="L105" s="264"/>
      <c r="M105" s="434"/>
      <c r="N105" s="264"/>
      <c r="O105" s="264"/>
      <c r="P105" s="264"/>
      <c r="Q105" s="264"/>
      <c r="R105" s="264"/>
      <c r="S105" s="264"/>
      <c r="T105" s="435"/>
    </row>
    <row r="106" spans="1:20">
      <c r="B106" s="440" t="s">
        <v>69</v>
      </c>
      <c r="C106" s="434"/>
      <c r="D106" s="434"/>
      <c r="E106" s="433"/>
      <c r="F106" s="439"/>
      <c r="G106" s="433"/>
      <c r="H106" s="264"/>
      <c r="I106" s="1467"/>
      <c r="J106" s="264"/>
      <c r="K106" s="264"/>
      <c r="L106" s="264"/>
      <c r="M106" s="434"/>
      <c r="N106" s="264"/>
      <c r="O106" s="264"/>
      <c r="P106" s="264"/>
      <c r="Q106" s="264"/>
      <c r="R106" s="264"/>
      <c r="S106" s="264"/>
      <c r="T106" s="435"/>
    </row>
    <row r="107" spans="1:20" ht="45">
      <c r="A107" s="405"/>
      <c r="B107" s="441" t="s">
        <v>70</v>
      </c>
      <c r="C107" s="442" t="s">
        <v>71</v>
      </c>
      <c r="D107" s="442" t="s">
        <v>72</v>
      </c>
      <c r="E107" s="442" t="s">
        <v>73</v>
      </c>
      <c r="F107" s="442" t="s">
        <v>74</v>
      </c>
      <c r="G107" s="442" t="s">
        <v>75</v>
      </c>
      <c r="H107" s="264"/>
      <c r="I107" s="1467"/>
      <c r="J107" s="264"/>
      <c r="K107" s="264"/>
      <c r="L107" s="264"/>
      <c r="M107" s="434"/>
      <c r="N107" s="264"/>
      <c r="O107" s="264"/>
      <c r="P107" s="264"/>
      <c r="Q107" s="264"/>
      <c r="R107" s="264"/>
      <c r="S107" s="264"/>
      <c r="T107" s="435"/>
    </row>
    <row r="108" spans="1:20">
      <c r="A108" s="405"/>
      <c r="B108" s="443"/>
      <c r="C108" s="444"/>
      <c r="D108" s="444"/>
      <c r="E108" s="444"/>
      <c r="F108" s="444"/>
      <c r="G108" s="444"/>
      <c r="H108" s="264"/>
      <c r="I108" s="1467"/>
      <c r="J108" s="264"/>
      <c r="K108" s="264"/>
      <c r="L108" s="264"/>
      <c r="M108" s="434"/>
      <c r="N108" s="264"/>
      <c r="O108" s="264"/>
      <c r="P108" s="264"/>
      <c r="Q108" s="264"/>
      <c r="R108" s="264"/>
      <c r="S108" s="264"/>
      <c r="T108" s="435"/>
    </row>
    <row r="109" spans="1:20">
      <c r="A109" s="405"/>
      <c r="B109" s="445"/>
      <c r="C109" s="446"/>
      <c r="D109" s="446"/>
      <c r="E109" s="446"/>
      <c r="F109" s="446"/>
      <c r="G109" s="446"/>
      <c r="H109" s="264"/>
      <c r="I109" s="1467"/>
      <c r="J109" s="264"/>
      <c r="K109" s="264"/>
      <c r="L109" s="264"/>
      <c r="M109" s="434"/>
      <c r="N109" s="264"/>
      <c r="O109" s="264"/>
      <c r="P109" s="264"/>
      <c r="Q109" s="264"/>
      <c r="R109" s="264"/>
      <c r="S109" s="264"/>
      <c r="T109" s="435"/>
    </row>
    <row r="110" spans="1:20">
      <c r="A110" s="405"/>
      <c r="B110" s="434"/>
      <c r="C110" s="447"/>
      <c r="D110" s="447"/>
      <c r="E110" s="447"/>
      <c r="F110" s="447"/>
      <c r="G110" s="447"/>
      <c r="H110" s="264"/>
      <c r="I110" s="1467"/>
      <c r="J110" s="264"/>
      <c r="K110" s="264"/>
      <c r="L110" s="264"/>
      <c r="M110" s="434"/>
      <c r="N110" s="264"/>
      <c r="O110" s="264"/>
      <c r="P110" s="264"/>
      <c r="Q110" s="264"/>
      <c r="R110" s="264"/>
      <c r="S110" s="264"/>
      <c r="T110" s="435"/>
    </row>
    <row r="111" spans="1:20" ht="15.75" thickBot="1">
      <c r="A111" s="448"/>
      <c r="B111" s="449"/>
      <c r="C111" s="450"/>
      <c r="D111" s="450"/>
      <c r="E111" s="450"/>
      <c r="F111" s="450"/>
      <c r="G111" s="450"/>
      <c r="H111" s="451"/>
      <c r="I111" s="1468"/>
      <c r="J111" s="451"/>
      <c r="K111" s="451"/>
      <c r="L111" s="451"/>
      <c r="M111" s="449"/>
      <c r="N111" s="451"/>
      <c r="O111" s="451"/>
      <c r="P111" s="451"/>
      <c r="Q111" s="451"/>
      <c r="R111" s="451"/>
      <c r="S111" s="451"/>
      <c r="T111" s="452"/>
    </row>
    <row r="117" spans="6:6">
      <c r="F117" s="453"/>
    </row>
  </sheetData>
  <mergeCells count="2">
    <mergeCell ref="U38:V41"/>
    <mergeCell ref="U86:U90"/>
  </mergeCells>
  <pageMargins left="0.7" right="0.7" top="0.75" bottom="0.75" header="0.3" footer="0.3"/>
  <pageSetup orientation="portrait" r:id="rId1"/>
  <ignoredErrors>
    <ignoredError sqref="N82:T82 N79 N86 T86 N42:T42 N69:T70 N74:T75 N80 R80 T80 N78:T78 N85:T85 N81:O81 Q81:T81 N84 P84 R84 T84 P79 R79 T7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02"/>
  <sheetViews>
    <sheetView zoomScale="110" zoomScaleNormal="110" workbookViewId="0">
      <pane xSplit="2" ySplit="3" topLeftCell="C47" activePane="bottomRight" state="frozen"/>
      <selection pane="topRight" activeCell="C1" sqref="C1"/>
      <selection pane="bottomLeft" activeCell="A4" sqref="A4"/>
      <selection pane="bottomRight" activeCell="O56" sqref="O56"/>
    </sheetView>
  </sheetViews>
  <sheetFormatPr defaultColWidth="8.85546875" defaultRowHeight="12.75"/>
  <cols>
    <col min="1" max="1" width="4.5703125" style="237" customWidth="1"/>
    <col min="2" max="2" width="38.28515625" style="237" bestFit="1" customWidth="1"/>
    <col min="3" max="3" width="13.140625" style="237" customWidth="1"/>
    <col min="4" max="5" width="15.7109375" style="237" hidden="1" customWidth="1"/>
    <col min="6" max="6" width="15.7109375" style="486" hidden="1" customWidth="1"/>
    <col min="7" max="7" width="15.7109375" style="237" hidden="1" customWidth="1"/>
    <col min="8" max="8" width="15.7109375" style="486" hidden="1" customWidth="1"/>
    <col min="9" max="9" width="15.7109375" style="237" hidden="1" customWidth="1"/>
    <col min="10" max="10" width="14.140625" style="487" customWidth="1"/>
    <col min="11" max="15" width="15.7109375" style="237" customWidth="1"/>
    <col min="16" max="16" width="8.85546875" style="237"/>
    <col min="17" max="18" width="13.28515625" style="237" customWidth="1"/>
    <col min="19" max="19" width="12.5703125" style="237" customWidth="1"/>
    <col min="20" max="16384" width="8.85546875" style="237"/>
  </cols>
  <sheetData>
    <row r="1" spans="1:20">
      <c r="A1" s="484" t="s">
        <v>603</v>
      </c>
      <c r="B1" s="485"/>
      <c r="C1" s="485"/>
    </row>
    <row r="2" spans="1:20" ht="13.5" thickBot="1">
      <c r="A2" s="484"/>
      <c r="B2" s="488"/>
      <c r="C2" s="488"/>
    </row>
    <row r="3" spans="1:20" ht="41.45" customHeight="1">
      <c r="A3" s="489"/>
      <c r="B3" s="490"/>
      <c r="C3" s="491" t="s">
        <v>83</v>
      </c>
      <c r="D3" s="492" t="s">
        <v>53</v>
      </c>
      <c r="E3" s="492" t="s">
        <v>54</v>
      </c>
      <c r="F3" s="493" t="s">
        <v>878</v>
      </c>
      <c r="G3" s="492" t="s">
        <v>76</v>
      </c>
      <c r="H3" s="493" t="s">
        <v>474</v>
      </c>
      <c r="I3" s="495" t="s">
        <v>77</v>
      </c>
      <c r="J3" s="494" t="s">
        <v>879</v>
      </c>
      <c r="K3" s="495" t="s">
        <v>883</v>
      </c>
      <c r="L3" s="495" t="s">
        <v>884</v>
      </c>
      <c r="M3" s="495" t="s">
        <v>885</v>
      </c>
      <c r="N3" s="492" t="s">
        <v>886</v>
      </c>
      <c r="O3" s="496" t="s">
        <v>887</v>
      </c>
      <c r="Q3" s="497" t="s">
        <v>355</v>
      </c>
      <c r="R3" s="497" t="s">
        <v>353</v>
      </c>
      <c r="S3" s="497" t="s">
        <v>354</v>
      </c>
      <c r="T3" s="497" t="s">
        <v>148</v>
      </c>
    </row>
    <row r="4" spans="1:20">
      <c r="A4" s="498" t="s">
        <v>49</v>
      </c>
      <c r="B4" s="499"/>
      <c r="C4" s="500"/>
      <c r="D4" s="501"/>
      <c r="E4" s="501"/>
      <c r="F4" s="502"/>
      <c r="G4" s="501"/>
      <c r="H4" s="502"/>
      <c r="I4" s="501"/>
      <c r="J4" s="503"/>
      <c r="K4" s="501"/>
      <c r="L4" s="501"/>
      <c r="M4" s="501"/>
      <c r="N4" s="501"/>
      <c r="O4" s="501"/>
    </row>
    <row r="5" spans="1:20">
      <c r="A5" s="504"/>
      <c r="B5" s="505" t="str">
        <f>'Annex 3 Total O&amp;M'!B5</f>
        <v>Cost of Sales</v>
      </c>
      <c r="C5" s="500">
        <v>1</v>
      </c>
      <c r="D5" s="506">
        <f>'Annex 3 Total O&amp;M'!C5*$C5</f>
        <v>37052568</v>
      </c>
      <c r="E5" s="507">
        <f>D5/$D$72</f>
        <v>0.23614131529473834</v>
      </c>
      <c r="F5" s="508">
        <f>'Annex 3 Total O&amp;M'!E5*$C5</f>
        <v>38243277</v>
      </c>
      <c r="G5" s="507">
        <f>F5/$F$72</f>
        <v>0.20739019203381959</v>
      </c>
      <c r="H5" s="508">
        <f>'Annex 3 Total O&amp;M'!G5*$C5</f>
        <v>33980708</v>
      </c>
      <c r="I5" s="507">
        <f>H5/$H$72</f>
        <v>0.2077573442626077</v>
      </c>
      <c r="J5" s="509">
        <f>'Annex 3 Total O&amp;M'!I5*$C5</f>
        <v>26905798</v>
      </c>
      <c r="K5" s="510">
        <f>'Annex 3 Total O&amp;M'!K5*$C5</f>
        <v>27443913.960000001</v>
      </c>
      <c r="L5" s="510">
        <f>'Annex 3 Total O&amp;M'!M5*$C5</f>
        <v>27992792.2392</v>
      </c>
      <c r="M5" s="510">
        <f>'Annex 3 Total O&amp;M'!O5*$C5</f>
        <v>28552648.083983999</v>
      </c>
      <c r="N5" s="510">
        <f>'Annex 3 Total O&amp;M'!Q5*$C5</f>
        <v>29123701.045663681</v>
      </c>
      <c r="O5" s="510">
        <f>'Annex 3 Total O&amp;M'!S5*$C5</f>
        <v>29706175.066576954</v>
      </c>
    </row>
    <row r="6" spans="1:20">
      <c r="A6" s="511"/>
      <c r="B6" s="512" t="s">
        <v>50</v>
      </c>
      <c r="C6" s="500"/>
      <c r="D6" s="501"/>
      <c r="E6" s="501"/>
      <c r="F6" s="502"/>
      <c r="G6" s="501"/>
      <c r="H6" s="502"/>
      <c r="I6" s="501"/>
      <c r="J6" s="503"/>
      <c r="K6" s="501"/>
      <c r="L6" s="501"/>
      <c r="M6" s="501"/>
      <c r="N6" s="501"/>
      <c r="O6" s="501"/>
    </row>
    <row r="7" spans="1:20">
      <c r="A7" s="513"/>
      <c r="B7" s="514" t="str">
        <f>'Annex 3 Total O&amp;M'!B8</f>
        <v>Basic Salary</v>
      </c>
      <c r="C7" s="500">
        <v>0.7</v>
      </c>
      <c r="D7" s="506">
        <f>'Annex 3 Total O&amp;M'!C8*$C7</f>
        <v>44867180.399999999</v>
      </c>
      <c r="E7" s="507">
        <f t="shared" ref="E7:E29" si="0">D7/$D$72</f>
        <v>0.28594495780217727</v>
      </c>
      <c r="F7" s="508">
        <f>'Annex 3 Total O&amp;M'!E8*$C7</f>
        <v>53458580</v>
      </c>
      <c r="G7" s="507">
        <f t="shared" ref="G7:G29" si="1">F7/$F$72</f>
        <v>0.28990154719364941</v>
      </c>
      <c r="H7" s="508">
        <f>'Annex 3 Total O&amp;M'!G8*$C7</f>
        <v>53764165</v>
      </c>
      <c r="I7" s="507">
        <f t="shared" ref="I7:I29" si="2">H7/$H$72</f>
        <v>0.32871299023247674</v>
      </c>
      <c r="J7" s="509">
        <f>'Annex 3 Total O&amp;M'!I8*$C7</f>
        <v>58907799.999999993</v>
      </c>
      <c r="K7" s="510">
        <f>'Annex 3 Total O&amp;M'!K8*$C7</f>
        <v>59496877.999999993</v>
      </c>
      <c r="L7" s="510">
        <f>'Annex 3 Total O&amp;M'!M8*$C7</f>
        <v>60091846.780000001</v>
      </c>
      <c r="M7" s="510">
        <f>'Annex 3 Total O&amp;M'!O8*$C7</f>
        <v>61293683.715600006</v>
      </c>
      <c r="N7" s="510">
        <f>'Annex 3 Total O&amp;M'!Q8*$C7</f>
        <v>62519557.389912002</v>
      </c>
      <c r="O7" s="510">
        <f>'Annex 3 Total O&amp;M'!S8*$C7</f>
        <v>63769948.537710242</v>
      </c>
    </row>
    <row r="8" spans="1:20">
      <c r="A8" s="513"/>
      <c r="B8" s="514" t="str">
        <f>'Annex 3 Total O&amp;M'!B63</f>
        <v>Medical Allowance</v>
      </c>
      <c r="C8" s="500">
        <v>0.7</v>
      </c>
      <c r="D8" s="506">
        <f>'Annex 3 Total O&amp;M'!C63*$C8</f>
        <v>1123290</v>
      </c>
      <c r="E8" s="507">
        <f t="shared" si="0"/>
        <v>7.1588878281642074E-3</v>
      </c>
      <c r="F8" s="508">
        <f>'Annex 3 Total O&amp;M'!E63*$C8</f>
        <v>5426194.8999999994</v>
      </c>
      <c r="G8" s="507">
        <f t="shared" si="1"/>
        <v>2.9425815217768405E-2</v>
      </c>
      <c r="H8" s="508">
        <f>'Annex 3 Total O&amp;M'!G63*$C8</f>
        <v>0</v>
      </c>
      <c r="I8" s="507">
        <f t="shared" si="2"/>
        <v>0</v>
      </c>
      <c r="J8" s="509">
        <f>'Annex 3 Total O&amp;M'!I63*$C8</f>
        <v>6559420</v>
      </c>
      <c r="K8" s="510">
        <f>'Annex 3 Total O&amp;M'!K63*$C8</f>
        <v>6690608.3999999994</v>
      </c>
      <c r="L8" s="510">
        <f>'Annex 3 Total O&amp;M'!M63*$C8</f>
        <v>6824420.568</v>
      </c>
      <c r="M8" s="510">
        <f>'Annex 3 Total O&amp;M'!O63*$C8</f>
        <v>6960908.9793600002</v>
      </c>
      <c r="N8" s="510">
        <f>'Annex 3 Total O&amp;M'!Q63*$C8</f>
        <v>7100127.1589471996</v>
      </c>
      <c r="O8" s="510">
        <f>'Annex 3 Total O&amp;M'!S63*$C8</f>
        <v>7242129.7021261444</v>
      </c>
    </row>
    <row r="9" spans="1:20">
      <c r="A9" s="513"/>
      <c r="B9" s="514" t="str">
        <f>'Annex 3 Total O&amp;M'!B9</f>
        <v>Leave Allowance</v>
      </c>
      <c r="C9" s="500">
        <v>0.7</v>
      </c>
      <c r="D9" s="506">
        <f>'Annex 3 Total O&amp;M'!C9*$C9</f>
        <v>1615656.7</v>
      </c>
      <c r="E9" s="507">
        <f t="shared" si="0"/>
        <v>1.0296811227841386E-2</v>
      </c>
      <c r="F9" s="508">
        <f>'Annex 3 Total O&amp;M'!E9*$C9</f>
        <v>1234753.0999999999</v>
      </c>
      <c r="G9" s="507">
        <f t="shared" si="1"/>
        <v>6.6959660000724839E-3</v>
      </c>
      <c r="H9" s="508">
        <f>'Annex 3 Total O&amp;M'!G9*$C9</f>
        <v>1429330</v>
      </c>
      <c r="I9" s="507">
        <f t="shared" si="2"/>
        <v>8.7388939887560052E-3</v>
      </c>
      <c r="J9" s="509">
        <f>'Annex 3 Total O&amp;M'!I9*$C9</f>
        <v>1105489</v>
      </c>
      <c r="K9" s="510">
        <f>'Annex 3 Total O&amp;M'!K9*$C9</f>
        <v>1116543.8899999999</v>
      </c>
      <c r="L9" s="510">
        <f>'Annex 3 Total O&amp;M'!M9*$C9</f>
        <v>1138874.7677999998</v>
      </c>
      <c r="M9" s="510">
        <f>'Annex 3 Total O&amp;M'!O9*$C9</f>
        <v>1161652.2631559998</v>
      </c>
      <c r="N9" s="510">
        <f>'Annex 3 Total O&amp;M'!Q9*$C9</f>
        <v>1184885.3084191198</v>
      </c>
      <c r="O9" s="510">
        <f>'Annex 3 Total O&amp;M'!S9*$C9</f>
        <v>1208583.0145875022</v>
      </c>
    </row>
    <row r="10" spans="1:20">
      <c r="A10" s="513"/>
      <c r="B10" s="514" t="str">
        <f>'Annex 3 Total O&amp;M'!B10</f>
        <v>Transfer Allowance</v>
      </c>
      <c r="C10" s="500">
        <v>0.7</v>
      </c>
      <c r="D10" s="506">
        <f>'Annex 3 Total O&amp;M'!C10*$C10</f>
        <v>428400</v>
      </c>
      <c r="E10" s="507">
        <f t="shared" si="0"/>
        <v>2.7302544717620085E-3</v>
      </c>
      <c r="F10" s="508">
        <f>'Annex 3 Total O&amp;M'!E10*$C10</f>
        <v>178220</v>
      </c>
      <c r="G10" s="507">
        <f t="shared" si="1"/>
        <v>9.6647261750783871E-4</v>
      </c>
      <c r="H10" s="508">
        <f>'Annex 3 Total O&amp;M'!G10*$C10</f>
        <v>592620</v>
      </c>
      <c r="I10" s="507">
        <f t="shared" si="2"/>
        <v>3.6232663944761414E-3</v>
      </c>
      <c r="J10" s="509">
        <f>'Annex 3 Total O&amp;M'!I10*$C10</f>
        <v>1249010</v>
      </c>
      <c r="K10" s="510">
        <f>'Annex 3 Total O&amp;M'!K10*$C10</f>
        <v>1261500.0999999999</v>
      </c>
      <c r="L10" s="510">
        <f>'Annex 3 Total O&amp;M'!M10*$C10</f>
        <v>1286730.102</v>
      </c>
      <c r="M10" s="510">
        <f>'Annex 3 Total O&amp;M'!O10*$C10</f>
        <v>1312464.70404</v>
      </c>
      <c r="N10" s="510">
        <f>'Annex 3 Total O&amp;M'!Q10*$C10</f>
        <v>1338713.9981208001</v>
      </c>
      <c r="O10" s="510">
        <f>'Annex 3 Total O&amp;M'!S10*$C10</f>
        <v>1365488.2780832162</v>
      </c>
      <c r="R10" s="515">
        <f t="shared" ref="R10:R18" si="3">F10/D10-1</f>
        <v>-0.58398692810457509</v>
      </c>
      <c r="S10" s="515">
        <f t="shared" ref="S10:S18" si="4">H10/F10-1</f>
        <v>2.3252160251374705</v>
      </c>
    </row>
    <row r="11" spans="1:20">
      <c r="A11" s="513"/>
      <c r="B11" s="514" t="str">
        <f>'Annex 3 Total O&amp;M'!B11</f>
        <v>Commuter Allowance</v>
      </c>
      <c r="C11" s="500">
        <v>0.7</v>
      </c>
      <c r="D11" s="506">
        <f>'Annex 3 Total O&amp;M'!C11*$C11</f>
        <v>4480000</v>
      </c>
      <c r="E11" s="507">
        <f t="shared" si="0"/>
        <v>2.8551680750452377E-2</v>
      </c>
      <c r="F11" s="508">
        <f>'Annex 3 Total O&amp;M'!E11*$C11</f>
        <v>5335400</v>
      </c>
      <c r="G11" s="507">
        <f t="shared" si="1"/>
        <v>2.8933441832854467E-2</v>
      </c>
      <c r="H11" s="508">
        <f>'Annex 3 Total O&amp;M'!G11*$C11</f>
        <v>4641000</v>
      </c>
      <c r="I11" s="507">
        <f t="shared" si="2"/>
        <v>2.837497778806617E-2</v>
      </c>
      <c r="J11" s="509">
        <f>'Annex 3 Total O&amp;M'!I11*$C11</f>
        <v>5343100</v>
      </c>
      <c r="K11" s="510">
        <f>'Annex 3 Total O&amp;M'!K11*$C11</f>
        <v>5396531</v>
      </c>
      <c r="L11" s="510">
        <f>'Annex 3 Total O&amp;M'!M11*$C11</f>
        <v>5504461.6200000001</v>
      </c>
      <c r="M11" s="510">
        <f>'Annex 3 Total O&amp;M'!O11*$C11</f>
        <v>5614550.8524000002</v>
      </c>
      <c r="N11" s="510">
        <f>'Annex 3 Total O&amp;M'!Q11*$C11</f>
        <v>5726841.8694480006</v>
      </c>
      <c r="O11" s="510">
        <f>'Annex 3 Total O&amp;M'!S11*$C11</f>
        <v>5841378.7068369603</v>
      </c>
      <c r="R11" s="515">
        <f t="shared" si="3"/>
        <v>0.19093749999999998</v>
      </c>
      <c r="S11" s="515">
        <f t="shared" si="4"/>
        <v>-0.13014956704277092</v>
      </c>
    </row>
    <row r="12" spans="1:20">
      <c r="A12" s="513"/>
      <c r="B12" s="514" t="str">
        <f>'Annex 3 Total O&amp;M'!B12</f>
        <v>House Allowance</v>
      </c>
      <c r="C12" s="500">
        <v>0.7</v>
      </c>
      <c r="D12" s="506">
        <f>'Annex 3 Total O&amp;M'!C12*$C12</f>
        <v>13443850</v>
      </c>
      <c r="E12" s="507">
        <f t="shared" si="0"/>
        <v>8.5679578852002045E-2</v>
      </c>
      <c r="F12" s="508">
        <f>'Annex 3 Total O&amp;M'!E12*$C12</f>
        <v>16153899.999999998</v>
      </c>
      <c r="G12" s="507">
        <f t="shared" si="1"/>
        <v>8.7601290629333833E-2</v>
      </c>
      <c r="H12" s="508">
        <f>'Annex 3 Total O&amp;M'!G12*$C12</f>
        <v>15504649.999999998</v>
      </c>
      <c r="I12" s="507">
        <f t="shared" si="2"/>
        <v>9.4795108675229486E-2</v>
      </c>
      <c r="J12" s="509">
        <f>'Annex 3 Total O&amp;M'!I12*$C12</f>
        <v>16405199.999999998</v>
      </c>
      <c r="K12" s="510">
        <f>'Annex 3 Total O&amp;M'!K12*$C12</f>
        <v>16569251.999999998</v>
      </c>
      <c r="L12" s="510">
        <f>'Annex 3 Total O&amp;M'!M12*$C12</f>
        <v>16900637.039999999</v>
      </c>
      <c r="M12" s="510">
        <f>'Annex 3 Total O&amp;M'!O12*$C12</f>
        <v>17238649.7808</v>
      </c>
      <c r="N12" s="510">
        <f>'Annex 3 Total O&amp;M'!Q12*$C12</f>
        <v>17583422.776416</v>
      </c>
      <c r="O12" s="510">
        <f>'Annex 3 Total O&amp;M'!S12*$C12</f>
        <v>17935091.231944319</v>
      </c>
      <c r="R12" s="515">
        <f t="shared" si="3"/>
        <v>0.20158287990419388</v>
      </c>
      <c r="S12" s="515">
        <f t="shared" si="4"/>
        <v>-4.0191532694891063E-2</v>
      </c>
    </row>
    <row r="13" spans="1:20">
      <c r="A13" s="513"/>
      <c r="B13" s="514" t="str">
        <f>'Annex 3 Total O&amp;M'!B14</f>
        <v>Airtime Allowance</v>
      </c>
      <c r="C13" s="500">
        <v>0.7</v>
      </c>
      <c r="D13" s="506">
        <f>'Annex 3 Total O&amp;M'!C14*$C13</f>
        <v>1024799.9999999999</v>
      </c>
      <c r="E13" s="507">
        <f t="shared" si="0"/>
        <v>6.5311969716659807E-3</v>
      </c>
      <c r="F13" s="508">
        <f>'Annex 3 Total O&amp;M'!E14*$C13</f>
        <v>1250900</v>
      </c>
      <c r="G13" s="507">
        <f t="shared" si="1"/>
        <v>6.7835293302690803E-3</v>
      </c>
      <c r="H13" s="508">
        <f>'Annex 3 Total O&amp;M'!G14*$C13</f>
        <v>1253000</v>
      </c>
      <c r="I13" s="507">
        <f t="shared" si="2"/>
        <v>7.6608160242290259E-3</v>
      </c>
      <c r="J13" s="509">
        <f>'Annex 3 Total O&amp;M'!I14*$C13</f>
        <v>1346800</v>
      </c>
      <c r="K13" s="510">
        <f>'Annex 3 Total O&amp;M'!K14*$C13</f>
        <v>1360268</v>
      </c>
      <c r="L13" s="510">
        <f>'Annex 3 Total O&amp;M'!M14*$C13</f>
        <v>1387473.3599999999</v>
      </c>
      <c r="M13" s="510">
        <f>'Annex 3 Total O&amp;M'!O14*$C13</f>
        <v>1415222.8271999999</v>
      </c>
      <c r="N13" s="510">
        <f>'Annex 3 Total O&amp;M'!Q14*$C13</f>
        <v>1443527.2837439999</v>
      </c>
      <c r="O13" s="510">
        <f>'Annex 3 Total O&amp;M'!S14*$C13</f>
        <v>1472397.8294188799</v>
      </c>
      <c r="R13" s="515">
        <f t="shared" si="3"/>
        <v>0.22062841530054667</v>
      </c>
      <c r="S13" s="515">
        <f t="shared" si="4"/>
        <v>1.6787912702853625E-3</v>
      </c>
    </row>
    <row r="14" spans="1:20">
      <c r="A14" s="513"/>
      <c r="B14" s="514" t="str">
        <f>'Annex 3 Total O&amp;M'!B15</f>
        <v>Provident Fund</v>
      </c>
      <c r="C14" s="500">
        <v>0.7</v>
      </c>
      <c r="D14" s="506">
        <f>'Annex 3 Total O&amp;M'!C15*$C14</f>
        <v>8621225.1999999993</v>
      </c>
      <c r="E14" s="507">
        <f t="shared" si="0"/>
        <v>5.4944301247356012E-2</v>
      </c>
      <c r="F14" s="508">
        <f>'Annex 3 Total O&amp;M'!E15*$C14</f>
        <v>8951756.0999999996</v>
      </c>
      <c r="G14" s="507">
        <f t="shared" si="1"/>
        <v>4.8544647902922018E-2</v>
      </c>
      <c r="H14" s="508">
        <f>'Annex 3 Total O&amp;M'!G15*$C14</f>
        <v>9514099</v>
      </c>
      <c r="I14" s="507">
        <f t="shared" si="2"/>
        <v>5.8169004050519835E-2</v>
      </c>
      <c r="J14" s="509">
        <f>'Annex 3 Total O&amp;M'!I15*$C14</f>
        <v>0</v>
      </c>
      <c r="K14" s="510">
        <f>'Annex 3 Total O&amp;M'!K15*$C14</f>
        <v>0</v>
      </c>
      <c r="L14" s="510">
        <f>'Annex 3 Total O&amp;M'!M15*$C14</f>
        <v>0</v>
      </c>
      <c r="M14" s="510">
        <f>'Annex 3 Total O&amp;M'!O15*$C14</f>
        <v>0</v>
      </c>
      <c r="N14" s="510">
        <f>'Annex 3 Total O&amp;M'!Q15*$C14</f>
        <v>0</v>
      </c>
      <c r="O14" s="510">
        <f>'Annex 3 Total O&amp;M'!S15*$C14</f>
        <v>0</v>
      </c>
      <c r="R14" s="515">
        <f t="shared" si="3"/>
        <v>3.8339202646046289E-2</v>
      </c>
      <c r="S14" s="515">
        <f t="shared" si="4"/>
        <v>6.2819283023137773E-2</v>
      </c>
    </row>
    <row r="15" spans="1:20">
      <c r="A15" s="513"/>
      <c r="B15" s="514" t="str">
        <f>'Annex 3 Total O&amp;M'!B16</f>
        <v>NSSF Employer</v>
      </c>
      <c r="C15" s="500">
        <v>0.7</v>
      </c>
      <c r="D15" s="506">
        <f>'Annex 3 Total O&amp;M'!C16*$C15</f>
        <v>1432620</v>
      </c>
      <c r="E15" s="507">
        <f t="shared" si="0"/>
        <v>9.1302921599805999E-3</v>
      </c>
      <c r="F15" s="508">
        <f>'Annex 3 Total O&amp;M'!E16*$C15</f>
        <v>1660932</v>
      </c>
      <c r="G15" s="507">
        <f t="shared" si="1"/>
        <v>9.0070996383263928E-3</v>
      </c>
      <c r="H15" s="508">
        <f>'Annex 3 Total O&amp;M'!G16*$C15</f>
        <v>1587600</v>
      </c>
      <c r="I15" s="507">
        <f t="shared" si="2"/>
        <v>9.706553487682363E-3</v>
      </c>
      <c r="J15" s="509">
        <f>'Annex 3 Total O&amp;M'!I16*$C15</f>
        <v>1660148</v>
      </c>
      <c r="K15" s="510">
        <f>'Annex 3 Total O&amp;M'!K16*$C15</f>
        <v>1676749.4799999997</v>
      </c>
      <c r="L15" s="510">
        <f>'Annex 3 Total O&amp;M'!M16*$C15</f>
        <v>1710284.4696</v>
      </c>
      <c r="M15" s="510">
        <f>'Annex 3 Total O&amp;M'!O16*$C15</f>
        <v>1744490.1589919999</v>
      </c>
      <c r="N15" s="510">
        <f>'Annex 3 Total O&amp;M'!Q16*$C15</f>
        <v>1779379.96217184</v>
      </c>
      <c r="O15" s="510">
        <f>'Annex 3 Total O&amp;M'!S16*$C15</f>
        <v>1814967.561415277</v>
      </c>
      <c r="R15" s="515">
        <f t="shared" si="3"/>
        <v>0.15936675461741423</v>
      </c>
      <c r="S15" s="515">
        <f t="shared" si="4"/>
        <v>-4.4151115157032295E-2</v>
      </c>
    </row>
    <row r="16" spans="1:20">
      <c r="A16" s="513"/>
      <c r="B16" s="514" t="str">
        <f>'Annex 3 Total O&amp;M'!B17</f>
        <v>Acting Allowance</v>
      </c>
      <c r="C16" s="500">
        <v>0.7</v>
      </c>
      <c r="D16" s="506">
        <f>'Annex 3 Total O&amp;M'!C17*$C16</f>
        <v>386225</v>
      </c>
      <c r="E16" s="507">
        <f t="shared" si="0"/>
        <v>2.4614671646972031E-3</v>
      </c>
      <c r="F16" s="508">
        <f>'Annex 3 Total O&amp;M'!E17*$C16</f>
        <v>532437.5</v>
      </c>
      <c r="G16" s="507">
        <f t="shared" si="1"/>
        <v>2.8873654151292216E-3</v>
      </c>
      <c r="H16" s="508">
        <f>'Annex 3 Total O&amp;M'!G17*$C16</f>
        <v>512224.99999999994</v>
      </c>
      <c r="I16" s="507">
        <f t="shared" si="2"/>
        <v>3.1317330311338488E-3</v>
      </c>
      <c r="J16" s="509">
        <f>'Annex 3 Total O&amp;M'!I17*$C16</f>
        <v>248135.99999999997</v>
      </c>
      <c r="K16" s="510">
        <f>'Annex 3 Total O&amp;M'!K17*$C16</f>
        <v>250617.36</v>
      </c>
      <c r="L16" s="510">
        <f>'Annex 3 Total O&amp;M'!M17*$C16</f>
        <v>255629.70719999998</v>
      </c>
      <c r="M16" s="510">
        <f>'Annex 3 Total O&amp;M'!O17*$C16</f>
        <v>260742.30134399995</v>
      </c>
      <c r="N16" s="510">
        <f>'Annex 3 Total O&amp;M'!Q17*$C16</f>
        <v>265957.14737087995</v>
      </c>
      <c r="O16" s="510">
        <f>'Annex 3 Total O&amp;M'!S17*$C16</f>
        <v>271276.29031829757</v>
      </c>
      <c r="R16" s="515">
        <f t="shared" si="3"/>
        <v>0.37856819211599446</v>
      </c>
      <c r="S16" s="515">
        <f t="shared" si="4"/>
        <v>-3.7962202136401113E-2</v>
      </c>
    </row>
    <row r="17" spans="1:19">
      <c r="A17" s="513"/>
      <c r="B17" s="514" t="str">
        <f>'Annex 3 Total O&amp;M'!B18</f>
        <v>Special Duty Allowance</v>
      </c>
      <c r="C17" s="500">
        <v>0.7</v>
      </c>
      <c r="D17" s="506">
        <f>'Annex 3 Total O&amp;M'!C18*$C17</f>
        <v>547344</v>
      </c>
      <c r="E17" s="507">
        <f t="shared" si="0"/>
        <v>3.4883015956865193E-3</v>
      </c>
      <c r="F17" s="508">
        <f>'Annex 3 Total O&amp;M'!E18*$C17</f>
        <v>305529</v>
      </c>
      <c r="G17" s="507">
        <f t="shared" si="1"/>
        <v>1.6568590077126724E-3</v>
      </c>
      <c r="H17" s="508">
        <f>'Annex 3 Total O&amp;M'!G18*$C17</f>
        <v>290703</v>
      </c>
      <c r="I17" s="507">
        <f t="shared" si="2"/>
        <v>1.7773521154760179E-3</v>
      </c>
      <c r="J17" s="509">
        <f>'Annex 3 Total O&amp;M'!I18*$C17</f>
        <v>354480</v>
      </c>
      <c r="K17" s="510">
        <f>'Annex 3 Total O&amp;M'!K18*$C17</f>
        <v>358024.8</v>
      </c>
      <c r="L17" s="510">
        <f>'Annex 3 Total O&amp;M'!M18*$C17</f>
        <v>365185.29599999997</v>
      </c>
      <c r="M17" s="510">
        <f>'Annex 3 Total O&amp;M'!O18*$C17</f>
        <v>372489.00192000001</v>
      </c>
      <c r="N17" s="510">
        <f>'Annex 3 Total O&amp;M'!Q18*$C17</f>
        <v>379938.78195839998</v>
      </c>
      <c r="O17" s="510">
        <f>'Annex 3 Total O&amp;M'!S18*$C17</f>
        <v>387537.55759756803</v>
      </c>
      <c r="R17" s="515">
        <f t="shared" si="3"/>
        <v>-0.44179711479435235</v>
      </c>
      <c r="S17" s="515">
        <f t="shared" si="4"/>
        <v>-4.8525671867482356E-2</v>
      </c>
    </row>
    <row r="18" spans="1:19">
      <c r="A18" s="513"/>
      <c r="B18" s="514" t="str">
        <f>'Annex 3 Total O&amp;M'!B19</f>
        <v>Casual Wages</v>
      </c>
      <c r="C18" s="500">
        <v>0.7</v>
      </c>
      <c r="D18" s="506">
        <f>'Annex 3 Total O&amp;M'!C19*$C18</f>
        <v>1953929.5999999999</v>
      </c>
      <c r="E18" s="507">
        <f t="shared" si="0"/>
        <v>1.2452672800906051E-2</v>
      </c>
      <c r="F18" s="508">
        <f>'Annex 3 Total O&amp;M'!E19*$C18</f>
        <v>451296.3</v>
      </c>
      <c r="G18" s="507">
        <f t="shared" si="1"/>
        <v>2.4473432630041682E-3</v>
      </c>
      <c r="H18" s="508">
        <f>'Annex 3 Total O&amp;M'!G19*$C18</f>
        <v>594893.6</v>
      </c>
      <c r="I18" s="507">
        <f t="shared" si="2"/>
        <v>3.6371671377424522E-3</v>
      </c>
      <c r="J18" s="509">
        <f>'Annex 3 Total O&amp;M'!I19*$C18</f>
        <v>1309942.8999999999</v>
      </c>
      <c r="K18" s="510">
        <f>'Annex 3 Total O&amp;M'!K19*$C18</f>
        <v>1323042.3289999999</v>
      </c>
      <c r="L18" s="510">
        <f>'Annex 3 Total O&amp;M'!M19*$C18</f>
        <v>1349503.17558</v>
      </c>
      <c r="M18" s="510">
        <f>'Annex 3 Total O&amp;M'!O19*$C18</f>
        <v>1376493.2390916001</v>
      </c>
      <c r="N18" s="510">
        <f>'Annex 3 Total O&amp;M'!Q19*$C18</f>
        <v>1404023.1038734321</v>
      </c>
      <c r="O18" s="510">
        <f>'Annex 3 Total O&amp;M'!S19*$C18</f>
        <v>1432103.5659509005</v>
      </c>
      <c r="R18" s="515">
        <f t="shared" si="3"/>
        <v>-0.76903144309805227</v>
      </c>
      <c r="S18" s="515">
        <f t="shared" si="4"/>
        <v>0.3181885160591833</v>
      </c>
    </row>
    <row r="19" spans="1:19">
      <c r="A19" s="513"/>
      <c r="B19" s="514" t="str">
        <f>'Annex 3 Total O&amp;M'!B20</f>
        <v>Performance Reward</v>
      </c>
      <c r="C19" s="500">
        <v>0.7</v>
      </c>
      <c r="D19" s="506">
        <f>'Annex 3 Total O&amp;M'!C20*$C19</f>
        <v>1252686.3999999999</v>
      </c>
      <c r="E19" s="507">
        <f t="shared" si="0"/>
        <v>7.9835495922396162E-3</v>
      </c>
      <c r="F19" s="508">
        <f>'Annex 3 Total O&amp;M'!E20*$C19</f>
        <v>1555512</v>
      </c>
      <c r="G19" s="507">
        <f t="shared" si="1"/>
        <v>8.4354155212930833E-3</v>
      </c>
      <c r="H19" s="508">
        <f>'Annex 3 Total O&amp;M'!G20*$C19</f>
        <v>1221500</v>
      </c>
      <c r="I19" s="507">
        <f t="shared" si="2"/>
        <v>7.4682256772512015E-3</v>
      </c>
      <c r="J19" s="509">
        <f>'Annex 3 Total O&amp;M'!I20*$C19</f>
        <v>2470230</v>
      </c>
      <c r="K19" s="510">
        <f>'Annex 3 Total O&amp;M'!K20*$C19</f>
        <v>0</v>
      </c>
      <c r="L19" s="510">
        <f>'Annex 3 Total O&amp;M'!M20*$C19</f>
        <v>0</v>
      </c>
      <c r="M19" s="510">
        <f>'Annex 3 Total O&amp;M'!O20*$C19</f>
        <v>0</v>
      </c>
      <c r="N19" s="510">
        <f>'Annex 3 Total O&amp;M'!Q20*$C19</f>
        <v>0</v>
      </c>
      <c r="O19" s="510">
        <f>'Annex 3 Total O&amp;M'!S20*$C19</f>
        <v>0</v>
      </c>
      <c r="R19" s="515"/>
      <c r="S19" s="515"/>
    </row>
    <row r="20" spans="1:19">
      <c r="A20" s="513"/>
      <c r="B20" s="514" t="str">
        <f>'Annex 3 Total O&amp;M'!B64</f>
        <v>WIBA</v>
      </c>
      <c r="C20" s="500">
        <v>0.7</v>
      </c>
      <c r="D20" s="506">
        <f>'Annex 3 Total O&amp;M'!C64*$C20</f>
        <v>485091.6</v>
      </c>
      <c r="E20" s="507">
        <f t="shared" si="0"/>
        <v>3.0915581468585144E-3</v>
      </c>
      <c r="F20" s="508">
        <f>'Annex 3 Total O&amp;M'!E64*$C20</f>
        <v>330610</v>
      </c>
      <c r="G20" s="507">
        <f t="shared" si="1"/>
        <v>1.7928712382126954E-3</v>
      </c>
      <c r="H20" s="508">
        <f>'Annex 3 Total O&amp;M'!G64*$C20</f>
        <v>254138.49999999997</v>
      </c>
      <c r="I20" s="507">
        <f t="shared" si="2"/>
        <v>1.5537975204896472E-3</v>
      </c>
      <c r="J20" s="509">
        <f>'Annex 3 Total O&amp;M'!I64*$C20</f>
        <v>228648</v>
      </c>
      <c r="K20" s="510">
        <f>'Annex 3 Total O&amp;M'!K64*$C20</f>
        <v>233220.95999999996</v>
      </c>
      <c r="L20" s="510">
        <f>'Annex 3 Total O&amp;M'!M64*$C20</f>
        <v>237885.37919999997</v>
      </c>
      <c r="M20" s="510">
        <f>'Annex 3 Total O&amp;M'!O64*$C20</f>
        <v>242643.08678399998</v>
      </c>
      <c r="N20" s="510">
        <f>'Annex 3 Total O&amp;M'!Q64*$C20</f>
        <v>247495.94851968001</v>
      </c>
      <c r="O20" s="510">
        <f>'Annex 3 Total O&amp;M'!S64*$C20</f>
        <v>252445.86749007361</v>
      </c>
      <c r="R20" s="515"/>
      <c r="S20" s="515"/>
    </row>
    <row r="21" spans="1:19">
      <c r="A21" s="513"/>
      <c r="B21" s="514" t="str">
        <f>'Annex 3 Total O&amp;M'!B21</f>
        <v>Risk Allowance</v>
      </c>
      <c r="C21" s="500">
        <v>0.7</v>
      </c>
      <c r="D21" s="506">
        <f>'Annex 3 Total O&amp;M'!C21*$C21</f>
        <v>0</v>
      </c>
      <c r="E21" s="507">
        <f t="shared" si="0"/>
        <v>0</v>
      </c>
      <c r="F21" s="508">
        <f>'Annex 3 Total O&amp;M'!E21*$C21</f>
        <v>0</v>
      </c>
      <c r="G21" s="507">
        <f t="shared" si="1"/>
        <v>0</v>
      </c>
      <c r="H21" s="508">
        <f>'Annex 3 Total O&amp;M'!G21*$C21</f>
        <v>0</v>
      </c>
      <c r="I21" s="507">
        <f t="shared" si="2"/>
        <v>0</v>
      </c>
      <c r="J21" s="509">
        <f>'Annex 3 Total O&amp;M'!I21*$C21</f>
        <v>75600</v>
      </c>
      <c r="K21" s="510">
        <f>'Annex 3 Total O&amp;M'!K21*$C21</f>
        <v>76356</v>
      </c>
      <c r="L21" s="510">
        <f>'Annex 3 Total O&amp;M'!M21*$C21</f>
        <v>77883.12</v>
      </c>
      <c r="M21" s="510">
        <f>'Annex 3 Total O&amp;M'!O21*$C21</f>
        <v>79440.782399999996</v>
      </c>
      <c r="N21" s="510">
        <f>'Annex 3 Total O&amp;M'!Q21*$C21</f>
        <v>81029.598048</v>
      </c>
      <c r="O21" s="510">
        <f>'Annex 3 Total O&amp;M'!S21*$C21</f>
        <v>82650.190008960009</v>
      </c>
      <c r="R21" s="515"/>
      <c r="S21" s="515"/>
    </row>
    <row r="22" spans="1:19">
      <c r="A22" s="513"/>
      <c r="B22" s="514" t="str">
        <f>'Annex 3 Total O&amp;M'!B22</f>
        <v>Entertainment Allowance</v>
      </c>
      <c r="C22" s="500">
        <v>0.7</v>
      </c>
      <c r="D22" s="506">
        <f>'Annex 3 Total O&amp;M'!C22*$C22</f>
        <v>0</v>
      </c>
      <c r="E22" s="507">
        <f t="shared" si="0"/>
        <v>0</v>
      </c>
      <c r="F22" s="508">
        <f>'Annex 3 Total O&amp;M'!E22*$C22</f>
        <v>0</v>
      </c>
      <c r="G22" s="507">
        <f t="shared" si="1"/>
        <v>0</v>
      </c>
      <c r="H22" s="508">
        <f>'Annex 3 Total O&amp;M'!G22*$C22</f>
        <v>0</v>
      </c>
      <c r="I22" s="507">
        <f t="shared" si="2"/>
        <v>0</v>
      </c>
      <c r="J22" s="509">
        <f>'Annex 3 Total O&amp;M'!I22*$C22</f>
        <v>182000</v>
      </c>
      <c r="K22" s="510">
        <f>'Annex 3 Total O&amp;M'!K22*$C22</f>
        <v>183820</v>
      </c>
      <c r="L22" s="510">
        <f>'Annex 3 Total O&amp;M'!M22*$C22</f>
        <v>187496.4</v>
      </c>
      <c r="M22" s="510">
        <f>'Annex 3 Total O&amp;M'!O22*$C22</f>
        <v>191246.32799999998</v>
      </c>
      <c r="N22" s="510">
        <f>'Annex 3 Total O&amp;M'!Q22*$C22</f>
        <v>195071.25456</v>
      </c>
      <c r="O22" s="510">
        <f>'Annex 3 Total O&amp;M'!S22*$C22</f>
        <v>198972.67965119999</v>
      </c>
      <c r="R22" s="515"/>
      <c r="S22" s="515"/>
    </row>
    <row r="23" spans="1:19">
      <c r="A23" s="513"/>
      <c r="B23" s="514" t="str">
        <f>'Annex 3 Total O&amp;M'!B23</f>
        <v>Arrears</v>
      </c>
      <c r="C23" s="500">
        <v>0.7</v>
      </c>
      <c r="D23" s="506">
        <f>'Annex 3 Total O&amp;M'!C23*$C23</f>
        <v>0</v>
      </c>
      <c r="E23" s="507">
        <f t="shared" si="0"/>
        <v>0</v>
      </c>
      <c r="F23" s="508">
        <f>'Annex 3 Total O&amp;M'!E23*$C23</f>
        <v>0</v>
      </c>
      <c r="G23" s="507">
        <f t="shared" si="1"/>
        <v>0</v>
      </c>
      <c r="H23" s="508">
        <f>'Annex 3 Total O&amp;M'!G23*$C23</f>
        <v>0</v>
      </c>
      <c r="I23" s="507">
        <f t="shared" si="2"/>
        <v>0</v>
      </c>
      <c r="J23" s="509">
        <f>'Annex 3 Total O&amp;M'!I23*$C23</f>
        <v>0</v>
      </c>
      <c r="K23" s="510">
        <f>'Annex 3 Total O&amp;M'!K23*$C23</f>
        <v>0</v>
      </c>
      <c r="L23" s="510">
        <f>'Annex 3 Total O&amp;M'!M23*$C23</f>
        <v>0</v>
      </c>
      <c r="M23" s="510">
        <f>'Annex 3 Total O&amp;M'!O23*$C23</f>
        <v>0</v>
      </c>
      <c r="N23" s="510">
        <f>'Annex 3 Total O&amp;M'!Q23*$C23</f>
        <v>0</v>
      </c>
      <c r="O23" s="510">
        <f>'Annex 3 Total O&amp;M'!S23*$C23</f>
        <v>0</v>
      </c>
      <c r="R23" s="515"/>
      <c r="S23" s="515"/>
    </row>
    <row r="24" spans="1:19">
      <c r="A24" s="513"/>
      <c r="B24" s="514" t="str">
        <f>'Annex 3 Total O&amp;M'!B24</f>
        <v>Pension (Employer Contribution)</v>
      </c>
      <c r="C24" s="500">
        <v>0.7</v>
      </c>
      <c r="D24" s="506">
        <f>'Annex 3 Total O&amp;M'!C24*$C24</f>
        <v>0</v>
      </c>
      <c r="E24" s="507">
        <f t="shared" si="0"/>
        <v>0</v>
      </c>
      <c r="F24" s="508">
        <f>'Annex 3 Total O&amp;M'!E24*$C24</f>
        <v>0</v>
      </c>
      <c r="G24" s="507">
        <f t="shared" si="1"/>
        <v>0</v>
      </c>
      <c r="H24" s="508">
        <f>'Annex 3 Total O&amp;M'!G24*$C24</f>
        <v>0</v>
      </c>
      <c r="I24" s="507">
        <f t="shared" si="2"/>
        <v>0</v>
      </c>
      <c r="J24" s="509">
        <f>'Annex 3 Total O&amp;M'!I24*$C24</f>
        <v>9943111.5</v>
      </c>
      <c r="K24" s="510">
        <f>'Annex 3 Total O&amp;M'!K24*$C24</f>
        <v>10042542.614999998</v>
      </c>
      <c r="L24" s="510">
        <f>'Annex 3 Total O&amp;M'!M24*$C24</f>
        <v>10243393.4673</v>
      </c>
      <c r="M24" s="510">
        <f>'Annex 3 Total O&amp;M'!O24*$C24</f>
        <v>10448261.336646</v>
      </c>
      <c r="N24" s="510">
        <f>'Annex 3 Total O&amp;M'!Q24*$C24</f>
        <v>10657226.563378921</v>
      </c>
      <c r="O24" s="510">
        <f>'Annex 3 Total O&amp;M'!S24*$C24</f>
        <v>10870371.094646499</v>
      </c>
      <c r="R24" s="515"/>
      <c r="S24" s="515"/>
    </row>
    <row r="25" spans="1:19">
      <c r="A25" s="513"/>
      <c r="B25" s="514" t="str">
        <f>'Annex 3 Total O&amp;M'!B25</f>
        <v>Gratuity</v>
      </c>
      <c r="C25" s="500">
        <v>0.7</v>
      </c>
      <c r="D25" s="506">
        <f>'Annex 3 Total O&amp;M'!C25*$C25</f>
        <v>899899</v>
      </c>
      <c r="E25" s="507">
        <f t="shared" si="0"/>
        <v>5.7351850347436032E-3</v>
      </c>
      <c r="F25" s="508">
        <f>'Annex 3 Total O&amp;M'!E25*$C25</f>
        <v>1445220</v>
      </c>
      <c r="G25" s="507">
        <f t="shared" si="1"/>
        <v>7.8373109430741709E-3</v>
      </c>
      <c r="H25" s="508">
        <f>'Annex 3 Total O&amp;M'!G25*$C25</f>
        <v>1061130</v>
      </c>
      <c r="I25" s="507">
        <f t="shared" si="2"/>
        <v>6.4877268218596542E-3</v>
      </c>
      <c r="J25" s="509">
        <f>'Annex 3 Total O&amp;M'!I25*$C25</f>
        <v>2734200</v>
      </c>
      <c r="K25" s="510">
        <f>'Annex 3 Total O&amp;M'!K25*$C25</f>
        <v>2761542</v>
      </c>
      <c r="L25" s="510">
        <f>'Annex 3 Total O&amp;M'!M25*$C25</f>
        <v>2816772.84</v>
      </c>
      <c r="M25" s="510">
        <f>'Annex 3 Total O&amp;M'!O25*$C25</f>
        <v>2873108.2968000001</v>
      </c>
      <c r="N25" s="510">
        <f>'Annex 3 Total O&amp;M'!Q25*$C25</f>
        <v>2930570.4627359998</v>
      </c>
      <c r="O25" s="510">
        <f>'Annex 3 Total O&amp;M'!S25*$C25</f>
        <v>2989181.8719907198</v>
      </c>
      <c r="R25" s="515"/>
      <c r="S25" s="515"/>
    </row>
    <row r="26" spans="1:19">
      <c r="A26" s="513"/>
      <c r="B26" s="514" t="str">
        <f>'Annex 3 Total O&amp;M'!B26</f>
        <v>Non-practising allowance</v>
      </c>
      <c r="C26" s="500">
        <v>0.7</v>
      </c>
      <c r="D26" s="506">
        <f>'Annex 3 Total O&amp;M'!C26*$C26</f>
        <v>0</v>
      </c>
      <c r="E26" s="507">
        <f t="shared" si="0"/>
        <v>0</v>
      </c>
      <c r="F26" s="508">
        <f>'Annex 3 Total O&amp;M'!E26*$C26</f>
        <v>0</v>
      </c>
      <c r="G26" s="507">
        <f t="shared" si="1"/>
        <v>0</v>
      </c>
      <c r="H26" s="508">
        <f>'Annex 3 Total O&amp;M'!G26*$C26</f>
        <v>125999.99999999999</v>
      </c>
      <c r="I26" s="507">
        <f t="shared" si="2"/>
        <v>7.7036138791129857E-4</v>
      </c>
      <c r="J26" s="509">
        <f>'Annex 3 Total O&amp;M'!I26*$C26</f>
        <v>0</v>
      </c>
      <c r="K26" s="510">
        <f>'Annex 3 Total O&amp;M'!K26*$C26</f>
        <v>0</v>
      </c>
      <c r="L26" s="510">
        <f>'Annex 3 Total O&amp;M'!M26*$C26</f>
        <v>0</v>
      </c>
      <c r="M26" s="510">
        <f>'Annex 3 Total O&amp;M'!O26*$C26</f>
        <v>0</v>
      </c>
      <c r="N26" s="510">
        <f>'Annex 3 Total O&amp;M'!Q26*$C26</f>
        <v>0</v>
      </c>
      <c r="O26" s="510">
        <f>'Annex 3 Total O&amp;M'!S26*$C26</f>
        <v>0</v>
      </c>
      <c r="R26" s="515"/>
      <c r="S26" s="515"/>
    </row>
    <row r="27" spans="1:19">
      <c r="A27" s="513"/>
      <c r="B27" s="514" t="str">
        <f>'Annex 3 Total O&amp;M'!B44</f>
        <v>Staff Training Expense</v>
      </c>
      <c r="C27" s="500">
        <v>0.7</v>
      </c>
      <c r="D27" s="506">
        <f>'Annex 3 Total O&amp;M'!C44*$C27</f>
        <v>376513.19999999995</v>
      </c>
      <c r="E27" s="507">
        <f t="shared" si="0"/>
        <v>2.3995724742703626E-3</v>
      </c>
      <c r="F27" s="508">
        <f>'Annex 3 Total O&amp;M'!E44*$C27</f>
        <v>704427.5</v>
      </c>
      <c r="G27" s="507">
        <f t="shared" si="1"/>
        <v>3.8200532475002979E-3</v>
      </c>
      <c r="H27" s="508">
        <f>'Annex 3 Total O&amp;M'!G44*$C27</f>
        <v>681492</v>
      </c>
      <c r="I27" s="507">
        <f t="shared" si="2"/>
        <v>4.1666279600829107E-3</v>
      </c>
      <c r="J27" s="509">
        <f>'Annex 3 Total O&amp;M'!I44*$C27</f>
        <v>808626</v>
      </c>
      <c r="K27" s="510">
        <f>'Annex 3 Total O&amp;M'!K44*$C27</f>
        <v>824798.52</v>
      </c>
      <c r="L27" s="510">
        <f>'Annex 3 Total O&amp;M'!M44*$C27</f>
        <v>841294.49040000001</v>
      </c>
      <c r="M27" s="510">
        <f>'Annex 3 Total O&amp;M'!O44*$C27</f>
        <v>858120.38020799996</v>
      </c>
      <c r="N27" s="510">
        <f>'Annex 3 Total O&amp;M'!Q44*$C27</f>
        <v>875282.7878121601</v>
      </c>
      <c r="O27" s="510">
        <f>'Annex 3 Total O&amp;M'!S44*$C27</f>
        <v>901541.27144652489</v>
      </c>
      <c r="R27" s="515"/>
      <c r="S27" s="515"/>
    </row>
    <row r="28" spans="1:19">
      <c r="A28" s="513"/>
      <c r="B28" s="514" t="str">
        <f>'Annex 3 Total O&amp;M'!B45</f>
        <v>Funeral Expense</v>
      </c>
      <c r="C28" s="500">
        <v>0.7</v>
      </c>
      <c r="D28" s="506">
        <f>'Annex 3 Total O&amp;M'!C45*$C28</f>
        <v>81200</v>
      </c>
      <c r="E28" s="507">
        <f t="shared" si="0"/>
        <v>5.1749921360194932E-4</v>
      </c>
      <c r="F28" s="508">
        <f>'Annex 3 Total O&amp;M'!E45*$C28</f>
        <v>91000</v>
      </c>
      <c r="G28" s="507">
        <f t="shared" si="1"/>
        <v>4.9348562559316201E-4</v>
      </c>
      <c r="H28" s="508">
        <f>'Annex 3 Total O&amp;M'!G45*$C28</f>
        <v>710500</v>
      </c>
      <c r="I28" s="507">
        <f t="shared" si="2"/>
        <v>4.3439822707220452E-3</v>
      </c>
      <c r="J28" s="509">
        <f>'Annex 3 Total O&amp;M'!I45*$C28</f>
        <v>516305.99999999994</v>
      </c>
      <c r="K28" s="510">
        <f>'Annex 3 Total O&amp;M'!K45*$C28</f>
        <v>526632.12</v>
      </c>
      <c r="L28" s="510">
        <f>'Annex 3 Total O&amp;M'!M45*$C28</f>
        <v>537164.76239999989</v>
      </c>
      <c r="M28" s="510">
        <f>'Annex 3 Total O&amp;M'!O45*$C28</f>
        <v>547908.05764799996</v>
      </c>
      <c r="N28" s="510">
        <f>'Annex 3 Total O&amp;M'!Q45*$C28</f>
        <v>558866.21880095999</v>
      </c>
      <c r="O28" s="510">
        <f>'Annex 3 Total O&amp;M'!S45*$C28</f>
        <v>575632.20536498877</v>
      </c>
      <c r="R28" s="515"/>
      <c r="S28" s="515"/>
    </row>
    <row r="29" spans="1:19">
      <c r="A29" s="513"/>
      <c r="B29" s="514" t="str">
        <f>'Annex 3 Total O&amp;M'!B46</f>
        <v>Games&amp; Sports</v>
      </c>
      <c r="C29" s="500">
        <v>0.7</v>
      </c>
      <c r="D29" s="506">
        <f>'Annex 3 Total O&amp;M'!C46*$C29</f>
        <v>583891</v>
      </c>
      <c r="E29" s="507">
        <f t="shared" si="0"/>
        <v>3.7212208538085689E-3</v>
      </c>
      <c r="F29" s="508">
        <f>'Annex 3 Total O&amp;M'!E46*$C29</f>
        <v>31639.999999999996</v>
      </c>
      <c r="G29" s="507">
        <f t="shared" si="1"/>
        <v>1.7158115597546859E-4</v>
      </c>
      <c r="H29" s="508">
        <f>'Annex 3 Total O&amp;M'!G46*$C29</f>
        <v>232399.99999999997</v>
      </c>
      <c r="I29" s="507">
        <f t="shared" si="2"/>
        <v>1.4208887821475064E-3</v>
      </c>
      <c r="J29" s="509">
        <f>'Annex 3 Total O&amp;M'!I46*$C29</f>
        <v>0</v>
      </c>
      <c r="K29" s="510">
        <f>'Annex 3 Total O&amp;M'!K46*$C29</f>
        <v>0</v>
      </c>
      <c r="L29" s="510">
        <f>'Annex 3 Total O&amp;M'!M46*$C29</f>
        <v>0</v>
      </c>
      <c r="M29" s="510">
        <f>'Annex 3 Total O&amp;M'!O46*$C29</f>
        <v>0</v>
      </c>
      <c r="N29" s="510">
        <f>'Annex 3 Total O&amp;M'!Q46*$C29</f>
        <v>0</v>
      </c>
      <c r="O29" s="510">
        <f>'Annex 3 Total O&amp;M'!S46*$C29</f>
        <v>0</v>
      </c>
      <c r="R29" s="515"/>
      <c r="S29" s="515"/>
    </row>
    <row r="30" spans="1:19" s="522" customFormat="1">
      <c r="A30" s="516" t="s">
        <v>51</v>
      </c>
      <c r="B30" s="512" t="str">
        <f>'Annex 3 Total O&amp;M'!B36</f>
        <v>Total Personnel Expenditures</v>
      </c>
      <c r="C30" s="500"/>
      <c r="D30" s="518">
        <f t="shared" ref="D30:O30" si="5">SUM(D7:D29)</f>
        <v>83603802.099999994</v>
      </c>
      <c r="E30" s="519">
        <f t="shared" si="5"/>
        <v>0.53281898818821416</v>
      </c>
      <c r="F30" s="520">
        <f t="shared" si="5"/>
        <v>99098308.399999991</v>
      </c>
      <c r="G30" s="519">
        <f t="shared" si="5"/>
        <v>0.53740209578019893</v>
      </c>
      <c r="H30" s="520">
        <f t="shared" si="5"/>
        <v>93971446.099999994</v>
      </c>
      <c r="I30" s="519">
        <f t="shared" si="5"/>
        <v>0.57453947334625244</v>
      </c>
      <c r="J30" s="521">
        <f t="shared" si="5"/>
        <v>111448247.40000001</v>
      </c>
      <c r="K30" s="520">
        <f t="shared" si="5"/>
        <v>110148927.57399997</v>
      </c>
      <c r="L30" s="520">
        <f t="shared" si="5"/>
        <v>111756937.34548004</v>
      </c>
      <c r="M30" s="520">
        <f t="shared" si="5"/>
        <v>113992076.09238964</v>
      </c>
      <c r="N30" s="520">
        <f t="shared" si="5"/>
        <v>116271917.6142374</v>
      </c>
      <c r="O30" s="520">
        <f t="shared" si="5"/>
        <v>118611697.45658825</v>
      </c>
      <c r="R30" s="523">
        <f>F30/D30-1</f>
        <v>0.18533255558720585</v>
      </c>
      <c r="S30" s="523">
        <f>H30/F30-1</f>
        <v>-5.1735114178800612E-2</v>
      </c>
    </row>
    <row r="31" spans="1:19" s="522" customFormat="1">
      <c r="A31" s="516"/>
      <c r="B31" s="512" t="str">
        <f>'Annex 3 Total O&amp;M'!B37</f>
        <v>Maintenance and repairs</v>
      </c>
      <c r="C31" s="500"/>
      <c r="D31" s="506"/>
      <c r="E31" s="519"/>
      <c r="F31" s="520"/>
      <c r="G31" s="519"/>
      <c r="H31" s="520"/>
      <c r="I31" s="519"/>
      <c r="J31" s="521"/>
      <c r="K31" s="520"/>
      <c r="L31" s="520"/>
      <c r="M31" s="520"/>
      <c r="N31" s="520"/>
      <c r="O31" s="520"/>
      <c r="R31" s="523"/>
      <c r="S31" s="523"/>
    </row>
    <row r="32" spans="1:19" s="522" customFormat="1">
      <c r="A32" s="516"/>
      <c r="B32" s="514" t="str">
        <f>'Annex 3 Total O&amp;M'!B38</f>
        <v>Software maintenance</v>
      </c>
      <c r="C32" s="500">
        <v>0.7</v>
      </c>
      <c r="D32" s="506">
        <f>'Annex 3 Total O&amp;M'!C38*$C32</f>
        <v>684950</v>
      </c>
      <c r="E32" s="507">
        <f>D32/$D$72</f>
        <v>4.3652843147371327E-3</v>
      </c>
      <c r="F32" s="508">
        <f>'Annex 3 Total O&amp;M'!E38*$C32</f>
        <v>773401.29999999993</v>
      </c>
      <c r="G32" s="507">
        <f>F32/$F$72</f>
        <v>4.1940925754402718E-3</v>
      </c>
      <c r="H32" s="508">
        <f>'Annex 3 Total O&amp;M'!G38*$C32</f>
        <v>900645.89999999991</v>
      </c>
      <c r="I32" s="507">
        <f>H32/$H$72</f>
        <v>5.5065303614334976E-3</v>
      </c>
      <c r="J32" s="509">
        <f>'Annex 3 Total O&amp;M'!I38*$C32</f>
        <v>233729.99999999997</v>
      </c>
      <c r="K32" s="510">
        <f>'Annex 3 Total O&amp;M'!K38*$C32</f>
        <v>236067.3</v>
      </c>
      <c r="L32" s="510">
        <f>'Annex 3 Total O&amp;M'!M38*$C32</f>
        <v>238427.973</v>
      </c>
      <c r="M32" s="510">
        <f>'Annex 3 Total O&amp;M'!O38*$C32</f>
        <v>240812.25272999998</v>
      </c>
      <c r="N32" s="510">
        <f>'Annex 3 Total O&amp;M'!Q38*$C32</f>
        <v>243220.37525729998</v>
      </c>
      <c r="O32" s="510">
        <f>'Annex 3 Total O&amp;M'!S38*$C32</f>
        <v>245652.57900987298</v>
      </c>
      <c r="R32" s="523"/>
      <c r="S32" s="523"/>
    </row>
    <row r="33" spans="1:19" s="522" customFormat="1">
      <c r="A33" s="516"/>
      <c r="B33" s="514" t="str">
        <f>'Annex 3 Total O&amp;M'!B39</f>
        <v>Motor Vehicles Repairs</v>
      </c>
      <c r="C33" s="500">
        <v>0.7</v>
      </c>
      <c r="D33" s="506">
        <f>'Annex 3 Total O&amp;M'!C39*$C33</f>
        <v>2608398.0999999996</v>
      </c>
      <c r="E33" s="507">
        <f>D33/$D$72</f>
        <v>1.6623694156537173E-2</v>
      </c>
      <c r="F33" s="508">
        <f>'Annex 3 Total O&amp;M'!E39*$C33</f>
        <v>2852984.4</v>
      </c>
      <c r="G33" s="507">
        <f>F33/$F$72</f>
        <v>1.5471503202654197E-2</v>
      </c>
      <c r="H33" s="508">
        <f>'Annex 3 Total O&amp;M'!G39*$C33</f>
        <v>915857.6</v>
      </c>
      <c r="I33" s="507">
        <f>H33/$H$72</f>
        <v>5.5995343798818332E-3</v>
      </c>
      <c r="J33" s="509">
        <f>'Annex 3 Total O&amp;M'!I39*$C33</f>
        <v>891821.7</v>
      </c>
      <c r="K33" s="510">
        <f>'Annex 3 Total O&amp;M'!K39*$C33</f>
        <v>900739.91700000002</v>
      </c>
      <c r="L33" s="510">
        <f>'Annex 3 Total O&amp;M'!M39*$C33</f>
        <v>909747.31617000001</v>
      </c>
      <c r="M33" s="510">
        <f>'Annex 3 Total O&amp;M'!O39*$C33</f>
        <v>918844.78933170007</v>
      </c>
      <c r="N33" s="510">
        <f>'Annex 3 Total O&amp;M'!Q39*$C33</f>
        <v>928033.23722501704</v>
      </c>
      <c r="O33" s="510">
        <f>'Annex 3 Total O&amp;M'!S39*$C33</f>
        <v>937313.56959726731</v>
      </c>
      <c r="R33" s="523"/>
      <c r="S33" s="523"/>
    </row>
    <row r="34" spans="1:19" s="522" customFormat="1">
      <c r="A34" s="516"/>
      <c r="B34" s="514" t="str">
        <f>'Annex 3 Total O&amp;M'!B40</f>
        <v>Infrastructure Maintenance</v>
      </c>
      <c r="C34" s="500">
        <v>0.7</v>
      </c>
      <c r="D34" s="506">
        <f>'Annex 3 Total O&amp;M'!C40*$C34</f>
        <v>8227409.3999999994</v>
      </c>
      <c r="E34" s="507">
        <f>D34/$D$72</f>
        <v>5.2434456828587259E-2</v>
      </c>
      <c r="F34" s="508">
        <f>'Annex 3 Total O&amp;M'!E40*$C34</f>
        <v>9048514.2999999989</v>
      </c>
      <c r="G34" s="507">
        <f>F34/$F$72</f>
        <v>4.9069359780485398E-2</v>
      </c>
      <c r="H34" s="508">
        <f>'Annex 3 Total O&amp;M'!G40*$C34</f>
        <v>4418281.6999999993</v>
      </c>
      <c r="I34" s="507">
        <f>H34/$H$72</f>
        <v>2.7013282719008665E-2</v>
      </c>
      <c r="J34" s="509">
        <f>'Annex 3 Total O&amp;M'!I40*$C34</f>
        <v>28167662.599999998</v>
      </c>
      <c r="K34" s="510">
        <f>'Annex 3 Total O&amp;M'!K40*$C34</f>
        <v>28449339.226</v>
      </c>
      <c r="L34" s="510">
        <f>'Annex 3 Total O&amp;M'!M40*$C34</f>
        <v>28733832.618259996</v>
      </c>
      <c r="M34" s="510">
        <f>'Annex 3 Total O&amp;M'!O40*$C34</f>
        <v>29021170.944442593</v>
      </c>
      <c r="N34" s="510">
        <f>'Annex 3 Total O&amp;M'!Q40*$C34</f>
        <v>29311382.653887022</v>
      </c>
      <c r="O34" s="510">
        <f>'Annex 3 Total O&amp;M'!S40*$C34</f>
        <v>29604496.480425902</v>
      </c>
      <c r="R34" s="523"/>
      <c r="S34" s="523"/>
    </row>
    <row r="35" spans="1:19" s="522" customFormat="1">
      <c r="A35" s="516" t="s">
        <v>55</v>
      </c>
      <c r="B35" s="512" t="str">
        <f>'Annex 3 Total O&amp;M'!B41</f>
        <v>Total Maintenance and Repairs</v>
      </c>
      <c r="C35" s="500"/>
      <c r="D35" s="518">
        <f t="shared" ref="D35:O35" si="6">SUM(D32:D34)</f>
        <v>11520757.5</v>
      </c>
      <c r="E35" s="534">
        <f t="shared" si="6"/>
        <v>7.3423435299861561E-2</v>
      </c>
      <c r="F35" s="518">
        <f t="shared" si="6"/>
        <v>12674899.999999998</v>
      </c>
      <c r="G35" s="534">
        <f t="shared" si="6"/>
        <v>6.8734955558579863E-2</v>
      </c>
      <c r="H35" s="518">
        <f t="shared" si="6"/>
        <v>6234785.1999999993</v>
      </c>
      <c r="I35" s="534">
        <f t="shared" si="6"/>
        <v>3.8119347460323999E-2</v>
      </c>
      <c r="J35" s="536">
        <f t="shared" si="6"/>
        <v>29293214.299999997</v>
      </c>
      <c r="K35" s="518">
        <f t="shared" si="6"/>
        <v>29586146.443</v>
      </c>
      <c r="L35" s="518">
        <f t="shared" si="6"/>
        <v>29882007.907429997</v>
      </c>
      <c r="M35" s="518">
        <f t="shared" si="6"/>
        <v>30180827.986504294</v>
      </c>
      <c r="N35" s="518">
        <f t="shared" si="6"/>
        <v>30482636.266369339</v>
      </c>
      <c r="O35" s="518">
        <f t="shared" si="6"/>
        <v>30787462.629033044</v>
      </c>
      <c r="R35" s="523"/>
      <c r="S35" s="523"/>
    </row>
    <row r="36" spans="1:19">
      <c r="A36" s="524"/>
      <c r="B36" s="512" t="str">
        <f>'Annex 3 Total O&amp;M'!B42</f>
        <v>Aministration Expenses</v>
      </c>
      <c r="C36" s="500"/>
      <c r="D36" s="506"/>
      <c r="E36" s="507"/>
      <c r="F36" s="508"/>
      <c r="G36" s="507"/>
      <c r="H36" s="508"/>
      <c r="I36" s="501"/>
      <c r="J36" s="509"/>
      <c r="K36" s="510"/>
      <c r="L36" s="501"/>
      <c r="M36" s="501"/>
      <c r="N36" s="501"/>
      <c r="O36" s="501"/>
      <c r="R36" s="515"/>
      <c r="S36" s="515"/>
    </row>
    <row r="37" spans="1:19">
      <c r="A37" s="524"/>
      <c r="B37" s="514" t="str">
        <f>'Annex 3 Total O&amp;M'!B43</f>
        <v>Postage, Telephone and Internet</v>
      </c>
      <c r="C37" s="500">
        <v>0.7</v>
      </c>
      <c r="D37" s="506">
        <f>'Annex 3 Total O&amp;M'!C43*$C37</f>
        <v>790690.6</v>
      </c>
      <c r="E37" s="507">
        <f t="shared" ref="E37:E56" si="7">D37/$D$72</f>
        <v>5.0391842820499194E-3</v>
      </c>
      <c r="F37" s="526">
        <f>'Annex 3 Total O&amp;M'!E43*$C37</f>
        <v>958564.6</v>
      </c>
      <c r="G37" s="507">
        <f t="shared" ref="G37:G56" si="8">F37/$F$72</f>
        <v>5.1982181461808687E-3</v>
      </c>
      <c r="H37" s="526">
        <f>'Annex 3 Total O&amp;M'!G43*$C37</f>
        <v>2086347.2</v>
      </c>
      <c r="I37" s="507">
        <f t="shared" ref="I37:I56" si="9">H37/$H$72</f>
        <v>1.2755883529022634E-2</v>
      </c>
      <c r="J37" s="509">
        <f>'Annex 3 Total O&amp;M'!I43*$C37</f>
        <v>2217614.6999999997</v>
      </c>
      <c r="K37" s="510">
        <f>'Annex 3 Total O&amp;M'!K43*$C37</f>
        <v>2261966.9939999999</v>
      </c>
      <c r="L37" s="510">
        <f>'Annex 3 Total O&amp;M'!M43*$C37</f>
        <v>2307206.3338799998</v>
      </c>
      <c r="M37" s="510">
        <f>'Annex 3 Total O&amp;M'!O43*$C37</f>
        <v>2353350.4605576</v>
      </c>
      <c r="N37" s="506">
        <f>'Annex 3 Total O&amp;M'!Q43*C37</f>
        <v>2400417.4697687523</v>
      </c>
      <c r="O37" s="506">
        <f>'Annex 3 Total O&amp;M'!S43*C37</f>
        <v>2448425.8191641271</v>
      </c>
      <c r="R37" s="515">
        <f t="shared" ref="R37:R57" si="10">F37/D37-1</f>
        <v>0.21231313487222447</v>
      </c>
      <c r="S37" s="515">
        <f t="shared" ref="S37:S57" si="11">H37/F37-1</f>
        <v>1.1765327031688839</v>
      </c>
    </row>
    <row r="38" spans="1:19">
      <c r="A38" s="524"/>
      <c r="B38" s="514" t="str">
        <f>'Annex 3 Total O&amp;M'!B47</f>
        <v>Transportation, travelling and Subsistence</v>
      </c>
      <c r="C38" s="500">
        <v>0.7</v>
      </c>
      <c r="D38" s="506">
        <f>'Annex 3 Total O&amp;M'!C47*$C38</f>
        <v>7234282.2999999998</v>
      </c>
      <c r="E38" s="507">
        <f t="shared" si="7"/>
        <v>4.610511577862686E-2</v>
      </c>
      <c r="F38" s="526">
        <f>'Annex 3 Total O&amp;M'!E47*$C38</f>
        <v>5715111.5</v>
      </c>
      <c r="G38" s="507">
        <f t="shared" si="8"/>
        <v>3.099258652650741E-2</v>
      </c>
      <c r="H38" s="526">
        <f>'Annex 3 Total O&amp;M'!G47*$C38</f>
        <v>5380697.6999999993</v>
      </c>
      <c r="I38" s="507">
        <f t="shared" si="9"/>
        <v>3.2897474191294698E-2</v>
      </c>
      <c r="J38" s="509">
        <f>'Annex 3 Total O&amp;M'!I47*$C38</f>
        <v>6891718.3999999994</v>
      </c>
      <c r="K38" s="510">
        <f>'Annex 3 Total O&amp;M'!K47*$C38</f>
        <v>7029552.7680000002</v>
      </c>
      <c r="L38" s="510">
        <f>'Annex 3 Total O&amp;M'!M47*$C38</f>
        <v>7170143.8233599998</v>
      </c>
      <c r="M38" s="510">
        <f>'Annex 3 Total O&amp;M'!O47*$C38</f>
        <v>7313546.6998272007</v>
      </c>
      <c r="N38" s="506">
        <f>'Annex 3 Total O&amp;M'!Q47*C38</f>
        <v>7459817.633823744</v>
      </c>
      <c r="O38" s="506">
        <f>'Annex 3 Total O&amp;M'!S47*C38</f>
        <v>7609013.9865002194</v>
      </c>
      <c r="R38" s="515">
        <f t="shared" si="10"/>
        <v>-0.20999606277460303</v>
      </c>
      <c r="S38" s="515">
        <f t="shared" si="11"/>
        <v>-5.8513959001499916E-2</v>
      </c>
    </row>
    <row r="39" spans="1:19">
      <c r="A39" s="524"/>
      <c r="B39" s="514" t="str">
        <f>'Annex 3 Total O&amp;M'!B48</f>
        <v>Printing, Stationery, Newspapers</v>
      </c>
      <c r="C39" s="500">
        <v>0.7</v>
      </c>
      <c r="D39" s="506">
        <f>'Annex 3 Total O&amp;M'!C48*$C39</f>
        <v>772226</v>
      </c>
      <c r="E39" s="507">
        <f t="shared" si="7"/>
        <v>4.921506745356883E-3</v>
      </c>
      <c r="F39" s="526">
        <f>'Annex 3 Total O&amp;M'!E48*$C39</f>
        <v>1234849</v>
      </c>
      <c r="G39" s="507">
        <f t="shared" si="8"/>
        <v>6.6964860580009944E-3</v>
      </c>
      <c r="H39" s="526">
        <f>'Annex 3 Total O&amp;M'!G48*$C39</f>
        <v>1641941</v>
      </c>
      <c r="I39" s="507">
        <f t="shared" si="9"/>
        <v>1.0038793235146554E-2</v>
      </c>
      <c r="J39" s="509">
        <f>'Annex 3 Total O&amp;M'!I48*$C39</f>
        <v>1681377.5999999999</v>
      </c>
      <c r="K39" s="510">
        <f>'Annex 3 Total O&amp;M'!K48*$C39</f>
        <v>1715005.1519999998</v>
      </c>
      <c r="L39" s="510">
        <f>'Annex 3 Total O&amp;M'!M48*$C39</f>
        <v>1749305.2550399997</v>
      </c>
      <c r="M39" s="510">
        <f>'Annex 3 Total O&amp;M'!O48*$C39</f>
        <v>1784291.3601407998</v>
      </c>
      <c r="N39" s="506">
        <f>'Annex 3 Total O&amp;M'!Q48*C39</f>
        <v>1819977.1873436158</v>
      </c>
      <c r="O39" s="506">
        <f>'Annex 3 Total O&amp;M'!S48*C39</f>
        <v>1856376.7310904879</v>
      </c>
      <c r="R39" s="515">
        <f t="shared" si="10"/>
        <v>0.59907721314744644</v>
      </c>
      <c r="S39" s="515">
        <f t="shared" si="11"/>
        <v>0.3296694575612078</v>
      </c>
    </row>
    <row r="40" spans="1:19">
      <c r="A40" s="524"/>
      <c r="B40" s="514" t="str">
        <f>'Annex 3 Total O&amp;M'!B49</f>
        <v>Security Services</v>
      </c>
      <c r="C40" s="500">
        <v>0.7</v>
      </c>
      <c r="D40" s="506">
        <f>'Annex 3 Total O&amp;M'!C49*$C40</f>
        <v>5723788</v>
      </c>
      <c r="E40" s="507">
        <f t="shared" si="7"/>
        <v>3.6478519566801405E-2</v>
      </c>
      <c r="F40" s="526">
        <f>'Annex 3 Total O&amp;M'!E49*$C40</f>
        <v>5863222.3999999994</v>
      </c>
      <c r="G40" s="507">
        <f t="shared" si="8"/>
        <v>3.1795779934679566E-2</v>
      </c>
      <c r="H40" s="526">
        <f>'Annex 3 Total O&amp;M'!G49*$C40</f>
        <v>5498080</v>
      </c>
      <c r="I40" s="507">
        <f t="shared" si="9"/>
        <v>3.3615147140058359E-2</v>
      </c>
      <c r="J40" s="509">
        <f>'Annex 3 Total O&amp;M'!I49*$C40</f>
        <v>3456165.3</v>
      </c>
      <c r="K40" s="510">
        <f>'Annex 3 Total O&amp;M'!K49*$C40</f>
        <v>3525288.6059999997</v>
      </c>
      <c r="L40" s="510">
        <f>'Annex 3 Total O&amp;M'!M49*$C40</f>
        <v>3595794.37812</v>
      </c>
      <c r="M40" s="510">
        <f>'Annex 3 Total O&amp;M'!O49*$C40</f>
        <v>3667710.2656823997</v>
      </c>
      <c r="N40" s="506">
        <f>'Annex 3 Total O&amp;M'!Q49*C40</f>
        <v>3741064.4709960478</v>
      </c>
      <c r="O40" s="506">
        <f>'Annex 3 Total O&amp;M'!S49*C40</f>
        <v>3815885.760415969</v>
      </c>
      <c r="R40" s="515">
        <f t="shared" si="10"/>
        <v>2.4360510906413557E-2</v>
      </c>
      <c r="S40" s="515">
        <f t="shared" si="11"/>
        <v>-6.2276743928389888E-2</v>
      </c>
    </row>
    <row r="41" spans="1:19">
      <c r="A41" s="524"/>
      <c r="B41" s="514" t="str">
        <f>'Annex 3 Total O&amp;M'!B50</f>
        <v>Fuel</v>
      </c>
      <c r="C41" s="500">
        <v>0.7</v>
      </c>
      <c r="D41" s="506">
        <f>'Annex 3 Total O&amp;M'!C50*$C41</f>
        <v>2000436.2</v>
      </c>
      <c r="E41" s="507">
        <f t="shared" si="7"/>
        <v>1.2749066014296451E-2</v>
      </c>
      <c r="F41" s="526">
        <f>'Annex 3 Total O&amp;M'!E50*$C41</f>
        <v>3142741.6999999997</v>
      </c>
      <c r="G41" s="507">
        <f t="shared" si="8"/>
        <v>1.7042833559365023E-2</v>
      </c>
      <c r="H41" s="526">
        <f>'Annex 3 Total O&amp;M'!G50*$C41</f>
        <v>2806975.5</v>
      </c>
      <c r="I41" s="507">
        <f t="shared" si="9"/>
        <v>1.7161790015976282E-2</v>
      </c>
      <c r="J41" s="509">
        <f>'Annex 3 Total O&amp;M'!I50*$C41</f>
        <v>2980775</v>
      </c>
      <c r="K41" s="510">
        <f>'Annex 3 Total O&amp;M'!K50*$C41</f>
        <v>3040390.5</v>
      </c>
      <c r="L41" s="510">
        <f>'Annex 3 Total O&amp;M'!M50*$C41</f>
        <v>3101198.3099999996</v>
      </c>
      <c r="M41" s="510">
        <f>'Annex 3 Total O&amp;M'!O50*$C41</f>
        <v>3163222.2761999997</v>
      </c>
      <c r="N41" s="506">
        <f>'Annex 3 Total O&amp;M'!Q50*C41</f>
        <v>3226486.7217239998</v>
      </c>
      <c r="O41" s="506">
        <f>'Annex 3 Total O&amp;M'!S50*C41</f>
        <v>3291016.4561584797</v>
      </c>
      <c r="R41" s="515">
        <f t="shared" si="10"/>
        <v>0.57102820874767213</v>
      </c>
      <c r="S41" s="515">
        <f t="shared" si="11"/>
        <v>-0.10683862437692537</v>
      </c>
    </row>
    <row r="42" spans="1:19">
      <c r="A42" s="524"/>
      <c r="B42" s="514" t="str">
        <f>'Annex 3 Total O&amp;M'!B51</f>
        <v>Lab Reagents</v>
      </c>
      <c r="C42" s="500">
        <v>0.7</v>
      </c>
      <c r="D42" s="506">
        <f>'Annex 3 Total O&amp;M'!C51*$C42</f>
        <v>16800</v>
      </c>
      <c r="E42" s="507">
        <f t="shared" si="7"/>
        <v>1.0706880281419641E-4</v>
      </c>
      <c r="F42" s="526">
        <f>'Annex 3 Total O&amp;M'!E51*$C42</f>
        <v>22717.1</v>
      </c>
      <c r="G42" s="507">
        <f t="shared" si="8"/>
        <v>1.2319299236442219E-4</v>
      </c>
      <c r="H42" s="526">
        <f>'Annex 3 Total O&amp;M'!G51*$C42</f>
        <v>50120</v>
      </c>
      <c r="I42" s="507">
        <f t="shared" si="9"/>
        <v>3.0643264096916103E-4</v>
      </c>
      <c r="J42" s="509">
        <f>'Annex 3 Total O&amp;M'!I51*$C42</f>
        <v>76377.7</v>
      </c>
      <c r="K42" s="510">
        <f>'Annex 3 Total O&amp;M'!K51*$C42</f>
        <v>77905.254000000001</v>
      </c>
      <c r="L42" s="510">
        <f>'Annex 3 Total O&amp;M'!M51*$C42</f>
        <v>79463.359079999995</v>
      </c>
      <c r="M42" s="510">
        <f>'Annex 3 Total O&amp;M'!O51*$C42</f>
        <v>81052.626261600002</v>
      </c>
      <c r="N42" s="506">
        <f>'Annex 3 Total O&amp;M'!Q51*C42</f>
        <v>82673.67878683201</v>
      </c>
      <c r="O42" s="506">
        <f>'Annex 3 Total O&amp;M'!S51*C42</f>
        <v>84327.152362568653</v>
      </c>
      <c r="R42" s="515">
        <f t="shared" si="10"/>
        <v>0.35220833333333323</v>
      </c>
      <c r="S42" s="515">
        <f t="shared" si="11"/>
        <v>1.2062675253443444</v>
      </c>
    </row>
    <row r="43" spans="1:19">
      <c r="A43" s="524"/>
      <c r="B43" s="514" t="str">
        <f>'Annex 3 Total O&amp;M'!B52</f>
        <v>Domestic Requisites/ Hospitality</v>
      </c>
      <c r="C43" s="500">
        <v>0.7</v>
      </c>
      <c r="D43" s="506">
        <f>'Annex 3 Total O&amp;M'!C52*$C43</f>
        <v>1369993.7999999998</v>
      </c>
      <c r="E43" s="507">
        <f t="shared" si="7"/>
        <v>8.7311664302899775E-3</v>
      </c>
      <c r="F43" s="526">
        <f>'Annex 3 Total O&amp;M'!E52*$C43</f>
        <v>1009100.3999999999</v>
      </c>
      <c r="G43" s="507">
        <f t="shared" si="8"/>
        <v>5.4722696942891202E-3</v>
      </c>
      <c r="H43" s="526">
        <f>'Annex 3 Total O&amp;M'!G52*$C43</f>
        <v>425287.1</v>
      </c>
      <c r="I43" s="507">
        <f t="shared" si="9"/>
        <v>2.6001965128315181E-3</v>
      </c>
      <c r="J43" s="509">
        <f>'Annex 3 Total O&amp;M'!I52*$C43</f>
        <v>1169514.5</v>
      </c>
      <c r="K43" s="510">
        <f>'Annex 3 Total O&amp;M'!K52*$C43</f>
        <v>1192904.7899999998</v>
      </c>
      <c r="L43" s="510">
        <f>'Annex 3 Total O&amp;M'!M52*$C43</f>
        <v>1216762.8857999998</v>
      </c>
      <c r="M43" s="510">
        <f>'Annex 3 Total O&amp;M'!O52*$C43</f>
        <v>1241098.1435159999</v>
      </c>
      <c r="N43" s="506">
        <f>'Annex 3 Total O&amp;M'!Q52*C43</f>
        <v>1265920.10638632</v>
      </c>
      <c r="O43" s="506">
        <f>'Annex 3 Total O&amp;M'!S52*C43</f>
        <v>1291238.5085140464</v>
      </c>
      <c r="R43" s="515">
        <f t="shared" si="10"/>
        <v>-0.26342703156758807</v>
      </c>
      <c r="S43" s="515">
        <f t="shared" si="11"/>
        <v>-0.57854827923960783</v>
      </c>
    </row>
    <row r="44" spans="1:19">
      <c r="A44" s="513"/>
      <c r="B44" s="514" t="str">
        <f>'Annex 3 Total O&amp;M'!B53</f>
        <v>Social Corporate Responsibility</v>
      </c>
      <c r="C44" s="500">
        <v>0.7</v>
      </c>
      <c r="D44" s="506">
        <f>'Annex 3 Total O&amp;M'!C53*$C44</f>
        <v>43400</v>
      </c>
      <c r="E44" s="507">
        <f t="shared" si="7"/>
        <v>2.7659440727000739E-4</v>
      </c>
      <c r="F44" s="526">
        <f>'Annex 3 Total O&amp;M'!E53*$C44</f>
        <v>217210</v>
      </c>
      <c r="G44" s="507">
        <f t="shared" si="8"/>
        <v>1.1779122278581396E-3</v>
      </c>
      <c r="H44" s="526">
        <f>'Annex 3 Total O&amp;M'!G53*$C44</f>
        <v>527268</v>
      </c>
      <c r="I44" s="507">
        <f t="shared" si="9"/>
        <v>3.2237056212794813E-3</v>
      </c>
      <c r="J44" s="509">
        <f>'Annex 3 Total O&amp;M'!I53*$C44</f>
        <v>349230</v>
      </c>
      <c r="K44" s="510">
        <f>'Annex 3 Total O&amp;M'!K53*$C44</f>
        <v>356214.6</v>
      </c>
      <c r="L44" s="510">
        <f>'Annex 3 Total O&amp;M'!M53*$C44</f>
        <v>363338.89199999999</v>
      </c>
      <c r="M44" s="510">
        <f>'Annex 3 Total O&amp;M'!O53*$C44</f>
        <v>370605.66983999999</v>
      </c>
      <c r="N44" s="506">
        <f>'Annex 3 Total O&amp;M'!Q53*C44</f>
        <v>378017.78323679994</v>
      </c>
      <c r="O44" s="506">
        <f>'Annex 3 Total O&amp;M'!S53*C44</f>
        <v>385578.13890153595</v>
      </c>
      <c r="R44" s="515">
        <f t="shared" si="10"/>
        <v>4.0048387096774194</v>
      </c>
      <c r="S44" s="515">
        <f t="shared" si="11"/>
        <v>1.4274572993876893</v>
      </c>
    </row>
    <row r="45" spans="1:19">
      <c r="A45" s="513"/>
      <c r="B45" s="514" t="str">
        <f>'Annex 3 Total O&amp;M'!B54</f>
        <v>Uniform &amp; Protective clothing</v>
      </c>
      <c r="C45" s="500">
        <v>0.7</v>
      </c>
      <c r="D45" s="506">
        <f>'Annex 3 Total O&amp;M'!C54*$C45</f>
        <v>152943</v>
      </c>
      <c r="E45" s="507">
        <f t="shared" si="7"/>
        <v>9.7472761361974062E-4</v>
      </c>
      <c r="F45" s="526">
        <f>'Annex 3 Total O&amp;M'!E54*$C45</f>
        <v>49490</v>
      </c>
      <c r="G45" s="507">
        <f t="shared" si="8"/>
        <v>2.6838025945720423E-4</v>
      </c>
      <c r="H45" s="526">
        <f>'Annex 3 Total O&amp;M'!G54*$C45</f>
        <v>42000</v>
      </c>
      <c r="I45" s="507">
        <f t="shared" si="9"/>
        <v>2.5678712930376623E-4</v>
      </c>
      <c r="J45" s="509">
        <f>'Annex 3 Total O&amp;M'!I54*$C45</f>
        <v>2237865.6999999997</v>
      </c>
      <c r="K45" s="510">
        <f>'Annex 3 Total O&amp;M'!K54*$C45</f>
        <v>2282623.014</v>
      </c>
      <c r="L45" s="510">
        <f>'Annex 3 Total O&amp;M'!M54*$C45</f>
        <v>2328275.4742799997</v>
      </c>
      <c r="M45" s="510">
        <f>'Annex 3 Total O&amp;M'!O54*$C45</f>
        <v>2374840.9837656002</v>
      </c>
      <c r="N45" s="506">
        <f>'Annex 3 Total O&amp;M'!Q54*C45</f>
        <v>2422337.8034409122</v>
      </c>
      <c r="O45" s="506">
        <f>'Annex 3 Total O&amp;M'!S54*C45</f>
        <v>2470784.5595097304</v>
      </c>
      <c r="R45" s="515">
        <f t="shared" si="10"/>
        <v>-0.67641539658565608</v>
      </c>
      <c r="S45" s="515">
        <f t="shared" si="11"/>
        <v>-0.15134370579915135</v>
      </c>
    </row>
    <row r="46" spans="1:19">
      <c r="A46" s="513"/>
      <c r="B46" s="514" t="str">
        <f>'Annex 3 Total O&amp;M'!B55</f>
        <v>Subscription Fees</v>
      </c>
      <c r="C46" s="500">
        <v>0.7</v>
      </c>
      <c r="D46" s="506">
        <f>'Annex 3 Total O&amp;M'!C55*$C46</f>
        <v>352317</v>
      </c>
      <c r="E46" s="507">
        <f t="shared" si="7"/>
        <v>2.2453666310172167E-3</v>
      </c>
      <c r="F46" s="526">
        <f>'Annex 3 Total O&amp;M'!E55*$C46</f>
        <v>367675</v>
      </c>
      <c r="G46" s="507">
        <f t="shared" si="8"/>
        <v>1.9938717295600642E-3</v>
      </c>
      <c r="H46" s="526">
        <f>'Annex 3 Total O&amp;M'!G55*$C46</f>
        <v>606480</v>
      </c>
      <c r="I46" s="507">
        <f t="shared" si="9"/>
        <v>3.7080061471463843E-3</v>
      </c>
      <c r="J46" s="509">
        <f>'Annex 3 Total O&amp;M'!I55*$C46</f>
        <v>211533</v>
      </c>
      <c r="K46" s="510">
        <f>'Annex 3 Total O&amp;M'!K55*$C46</f>
        <v>215763.65999999997</v>
      </c>
      <c r="L46" s="510">
        <f>'Annex 3 Total O&amp;M'!M55*$C46</f>
        <v>220078.93319999997</v>
      </c>
      <c r="M46" s="510">
        <f>'Annex 3 Total O&amp;M'!O55*$C46</f>
        <v>224480.51186399994</v>
      </c>
      <c r="N46" s="506">
        <f>'Annex 3 Total O&amp;M'!Q55*C46</f>
        <v>228970.12210127997</v>
      </c>
      <c r="O46" s="506">
        <f>'Annex 3 Total O&amp;M'!S55*C46</f>
        <v>233549.52454330554</v>
      </c>
      <c r="R46" s="515">
        <f t="shared" si="10"/>
        <v>4.3591424768035569E-2</v>
      </c>
      <c r="S46" s="515">
        <f t="shared" si="11"/>
        <v>0.64950023798191348</v>
      </c>
    </row>
    <row r="47" spans="1:19">
      <c r="A47" s="513"/>
      <c r="B47" s="514" t="str">
        <f>'Annex 3 Total O&amp;M'!B56</f>
        <v>Publicity &amp; Advertisement</v>
      </c>
      <c r="C47" s="500">
        <v>0.7</v>
      </c>
      <c r="D47" s="506">
        <f>'Annex 3 Total O&amp;M'!C56*$C47</f>
        <v>634191.6</v>
      </c>
      <c r="E47" s="507">
        <f t="shared" si="7"/>
        <v>4.041793771834507E-3</v>
      </c>
      <c r="F47" s="526">
        <f>'Annex 3 Total O&amp;M'!E56*$C47</f>
        <v>31499.999999999996</v>
      </c>
      <c r="G47" s="507">
        <f t="shared" si="8"/>
        <v>1.708219473207099E-4</v>
      </c>
      <c r="H47" s="526">
        <f>'Annex 3 Total O&amp;M'!G56*$C47</f>
        <v>316555.39999999997</v>
      </c>
      <c r="I47" s="507">
        <f t="shared" si="9"/>
        <v>1.9354131531334627E-3</v>
      </c>
      <c r="J47" s="509">
        <f>'Annex 3 Total O&amp;M'!I56*$C47</f>
        <v>342766.89999999997</v>
      </c>
      <c r="K47" s="510">
        <f>'Annex 3 Total O&amp;M'!K56*$C47</f>
        <v>349622.23800000001</v>
      </c>
      <c r="L47" s="510">
        <f>'Annex 3 Total O&amp;M'!M56*$C47</f>
        <v>356614.68276</v>
      </c>
      <c r="M47" s="510">
        <f>'Annex 3 Total O&amp;M'!O56*$C47</f>
        <v>363746.97641519998</v>
      </c>
      <c r="N47" s="506">
        <f>'Annex 3 Total O&amp;M'!Q56*C47</f>
        <v>371021.91594350396</v>
      </c>
      <c r="O47" s="506">
        <f>'Annex 3 Total O&amp;M'!S56*C47</f>
        <v>378442.35426237405</v>
      </c>
      <c r="R47" s="515">
        <f t="shared" si="10"/>
        <v>-0.95033046795321796</v>
      </c>
      <c r="S47" s="515">
        <f t="shared" si="11"/>
        <v>9.049377777777778</v>
      </c>
    </row>
    <row r="48" spans="1:19">
      <c r="A48" s="513"/>
      <c r="B48" s="514" t="str">
        <f>'Annex 3 Total O&amp;M'!B57</f>
        <v>Computer Accessories</v>
      </c>
      <c r="C48" s="500">
        <v>0.7</v>
      </c>
      <c r="D48" s="506">
        <f>'Annex 3 Total O&amp;M'!C57*$C48</f>
        <v>226177</v>
      </c>
      <c r="E48" s="507">
        <f t="shared" si="7"/>
        <v>1.4414583698872919E-3</v>
      </c>
      <c r="F48" s="526">
        <f>'Annex 3 Total O&amp;M'!E57*$C48</f>
        <v>653030</v>
      </c>
      <c r="G48" s="507">
        <f t="shared" si="8"/>
        <v>3.5413287701220064E-3</v>
      </c>
      <c r="H48" s="526">
        <f>'Annex 3 Total O&amp;M'!G57*$C48</f>
        <v>433594.69999999995</v>
      </c>
      <c r="I48" s="507">
        <f t="shared" si="9"/>
        <v>2.6509890070078026E-3</v>
      </c>
      <c r="J48" s="509">
        <f>'Annex 3 Total O&amp;M'!I57*$C48</f>
        <v>2318015.6999999997</v>
      </c>
      <c r="K48" s="510">
        <f>'Annex 3 Total O&amp;M'!K57*$C48</f>
        <v>2364376.014</v>
      </c>
      <c r="L48" s="510">
        <f>'Annex 3 Total O&amp;M'!M57*$C48</f>
        <v>2411663.5342799998</v>
      </c>
      <c r="M48" s="510">
        <f>'Annex 3 Total O&amp;M'!O57*$C48</f>
        <v>2459896.8049655999</v>
      </c>
      <c r="N48" s="506">
        <f>'Annex 3 Total O&amp;M'!Q57*C48</f>
        <v>2509094.7410649117</v>
      </c>
      <c r="O48" s="506">
        <f>'Annex 3 Total O&amp;M'!S57*C48</f>
        <v>2559276.63588621</v>
      </c>
      <c r="R48" s="515">
        <f t="shared" si="10"/>
        <v>1.8872520194361053</v>
      </c>
      <c r="S48" s="515">
        <f t="shared" si="11"/>
        <v>-0.33602636938578634</v>
      </c>
    </row>
    <row r="49" spans="1:19">
      <c r="A49" s="513"/>
      <c r="B49" s="514" t="str">
        <f>'Annex 3 Total O&amp;M'!B58</f>
        <v>Motor Vehicle Insurance</v>
      </c>
      <c r="C49" s="500">
        <v>0.7</v>
      </c>
      <c r="D49" s="506">
        <f>'Annex 3 Total O&amp;M'!C58*$C49</f>
        <v>576669.1</v>
      </c>
      <c r="E49" s="507">
        <f t="shared" si="7"/>
        <v>3.6751946521988159E-3</v>
      </c>
      <c r="F49" s="526">
        <f>'Annex 3 Total O&amp;M'!E58*$C49</f>
        <v>306999.69999999995</v>
      </c>
      <c r="G49" s="507">
        <f t="shared" si="8"/>
        <v>1.6648344946309124E-3</v>
      </c>
      <c r="H49" s="526">
        <f>'Annex 3 Total O&amp;M'!G58*$C49</f>
        <v>350240.1</v>
      </c>
      <c r="I49" s="507">
        <f t="shared" si="9"/>
        <v>2.1413607106205716E-3</v>
      </c>
      <c r="J49" s="509">
        <f>'Annex 3 Total O&amp;M'!I58*$C49</f>
        <v>165048.79999999999</v>
      </c>
      <c r="K49" s="510">
        <f>'Annex 3 Total O&amp;M'!K58*$C49</f>
        <v>168349.77599999998</v>
      </c>
      <c r="L49" s="510">
        <f>'Annex 3 Total O&amp;M'!M58*$C49</f>
        <v>171716.77152000001</v>
      </c>
      <c r="M49" s="510">
        <f>'Annex 3 Total O&amp;M'!O58*$C49</f>
        <v>175151.10695040002</v>
      </c>
      <c r="N49" s="506">
        <f>'Annex 3 Total O&amp;M'!Q58*C49</f>
        <v>178654.129089408</v>
      </c>
      <c r="O49" s="506">
        <f>'Annex 3 Total O&amp;M'!S58*C49</f>
        <v>182227.21167119616</v>
      </c>
      <c r="R49" s="515">
        <f t="shared" si="10"/>
        <v>-0.46763282443952703</v>
      </c>
      <c r="S49" s="515">
        <f t="shared" si="11"/>
        <v>0.14084834610587582</v>
      </c>
    </row>
    <row r="50" spans="1:19">
      <c r="A50" s="524"/>
      <c r="B50" s="514" t="str">
        <f>'Annex 3 Total O&amp;M'!B59</f>
        <v>Bank Charges and Commissions</v>
      </c>
      <c r="C50" s="500">
        <v>0.7</v>
      </c>
      <c r="D50" s="506">
        <f>'Annex 3 Total O&amp;M'!C59*$C50</f>
        <v>193823</v>
      </c>
      <c r="E50" s="507">
        <f t="shared" si="7"/>
        <v>1.2352617004676185E-3</v>
      </c>
      <c r="F50" s="526">
        <f>'Annex 3 Total O&amp;M'!E59*$C50</f>
        <v>0</v>
      </c>
      <c r="G50" s="507">
        <f t="shared" si="8"/>
        <v>0</v>
      </c>
      <c r="H50" s="526">
        <f>'Annex 3 Total O&amp;M'!G59*$C50</f>
        <v>155235.5</v>
      </c>
      <c r="I50" s="507">
        <f t="shared" si="9"/>
        <v>9.4910662883416195E-4</v>
      </c>
      <c r="J50" s="509">
        <f>'Annex 3 Total O&amp;M'!I59*$C50</f>
        <v>40198.199999999997</v>
      </c>
      <c r="K50" s="510">
        <f>'Annex 3 Total O&amp;M'!K59*$C50</f>
        <v>41002.163999999997</v>
      </c>
      <c r="L50" s="510">
        <f>'Annex 3 Total O&amp;M'!M59*$C50</f>
        <v>41822.207280000002</v>
      </c>
      <c r="M50" s="510">
        <f>'Annex 3 Total O&amp;M'!O59*$C50</f>
        <v>42658.651425600001</v>
      </c>
      <c r="N50" s="506">
        <f>'Annex 3 Total O&amp;M'!Q59*C50</f>
        <v>43511.824454112008</v>
      </c>
      <c r="O50" s="506">
        <f>'Annex 3 Total O&amp;M'!S59*C50</f>
        <v>44382.060943194243</v>
      </c>
      <c r="R50" s="515">
        <f t="shared" si="10"/>
        <v>-1</v>
      </c>
      <c r="S50" s="515" t="e">
        <f t="shared" si="11"/>
        <v>#DIV/0!</v>
      </c>
    </row>
    <row r="51" spans="1:19">
      <c r="A51" s="524"/>
      <c r="B51" s="514" t="str">
        <f>'Annex 3 Total O&amp;M'!B60</f>
        <v>Auditor's Remuneration</v>
      </c>
      <c r="C51" s="500">
        <v>0.7</v>
      </c>
      <c r="D51" s="506">
        <f>'Annex 3 Total O&amp;M'!C60*$C51</f>
        <v>319200</v>
      </c>
      <c r="E51" s="507">
        <f t="shared" si="7"/>
        <v>2.0343072534697317E-3</v>
      </c>
      <c r="F51" s="526">
        <f>'Annex 3 Total O&amp;M'!E60*$C51</f>
        <v>319200</v>
      </c>
      <c r="G51" s="507">
        <f t="shared" si="8"/>
        <v>1.7309957328498604E-3</v>
      </c>
      <c r="H51" s="526">
        <f>'Annex 3 Total O&amp;M'!G60*$C51</f>
        <v>375825.8</v>
      </c>
      <c r="I51" s="507">
        <f t="shared" si="9"/>
        <v>2.2977911500069378E-3</v>
      </c>
      <c r="J51" s="509">
        <f>'Annex 3 Total O&amp;M'!I60*$C51</f>
        <v>0</v>
      </c>
      <c r="K51" s="510">
        <f>'Annex 3 Total O&amp;M'!K60*$C51</f>
        <v>0</v>
      </c>
      <c r="L51" s="510">
        <f>'Annex 3 Total O&amp;M'!M60*$C51</f>
        <v>0</v>
      </c>
      <c r="M51" s="510">
        <f>'Annex 3 Total O&amp;M'!O60*$C51</f>
        <v>0</v>
      </c>
      <c r="N51" s="506">
        <f>'Annex 3 Total O&amp;M'!Q60</f>
        <v>0</v>
      </c>
      <c r="O51" s="506">
        <f>'Annex 3 Total O&amp;M'!S60</f>
        <v>0</v>
      </c>
      <c r="R51" s="515">
        <f t="shared" si="10"/>
        <v>0</v>
      </c>
      <c r="S51" s="515">
        <f t="shared" si="11"/>
        <v>0.17739912280701753</v>
      </c>
    </row>
    <row r="52" spans="1:19">
      <c r="A52" s="524"/>
      <c r="B52" s="514" t="str">
        <f>'Annex 3 Total O&amp;M'!B61</f>
        <v>Legal Fees</v>
      </c>
      <c r="C52" s="500">
        <v>0.7</v>
      </c>
      <c r="D52" s="506">
        <f>'Annex 3 Total O&amp;M'!C61*$C52</f>
        <v>682303.29999999993</v>
      </c>
      <c r="E52" s="507">
        <f t="shared" si="7"/>
        <v>4.3484165170937792E-3</v>
      </c>
      <c r="F52" s="526">
        <f>'Annex 3 Total O&amp;M'!E61*$C52</f>
        <v>944469.39999999991</v>
      </c>
      <c r="G52" s="507">
        <f t="shared" si="8"/>
        <v>5.1217810188197615E-3</v>
      </c>
      <c r="H52" s="526">
        <f>'Annex 3 Total O&amp;M'!G61*$C52</f>
        <v>249075.4</v>
      </c>
      <c r="I52" s="507">
        <f t="shared" si="9"/>
        <v>1.5228418320520785E-3</v>
      </c>
      <c r="J52" s="509">
        <f>'Annex 3 Total O&amp;M'!I61*$C52</f>
        <v>1171240</v>
      </c>
      <c r="K52" s="510">
        <f>'Annex 3 Total O&amp;M'!K61*$C52</f>
        <v>1194664.7999999998</v>
      </c>
      <c r="L52" s="510">
        <f>'Annex 3 Total O&amp;M'!M61*$C52</f>
        <v>1218558.0959999999</v>
      </c>
      <c r="M52" s="510">
        <f>'Annex 3 Total O&amp;M'!O61*$C52</f>
        <v>1242929.25792</v>
      </c>
      <c r="N52" s="506">
        <f>'Annex 3 Total O&amp;M'!Q61*C52</f>
        <v>1267787.8430784</v>
      </c>
      <c r="O52" s="506">
        <f>'Annex 3 Total O&amp;M'!S61*C52</f>
        <v>1293143.599939968</v>
      </c>
      <c r="R52" s="515">
        <f t="shared" si="10"/>
        <v>0.38423689288913021</v>
      </c>
      <c r="S52" s="515">
        <f t="shared" si="11"/>
        <v>-0.73628007429356623</v>
      </c>
    </row>
    <row r="53" spans="1:19">
      <c r="A53" s="524"/>
      <c r="B53" s="514" t="str">
        <f>'Annex 3 Total O&amp;M'!B62</f>
        <v>Consultancy/ Profession Fees</v>
      </c>
      <c r="C53" s="500">
        <v>0.7</v>
      </c>
      <c r="D53" s="506">
        <f>'Annex 3 Total O&amp;M'!C62*$C53</f>
        <v>0</v>
      </c>
      <c r="E53" s="507">
        <f t="shared" si="7"/>
        <v>0</v>
      </c>
      <c r="F53" s="526">
        <f>'Annex 3 Total O&amp;M'!E62*$C53</f>
        <v>5724600</v>
      </c>
      <c r="G53" s="507">
        <f t="shared" si="8"/>
        <v>3.1044041893083681E-2</v>
      </c>
      <c r="H53" s="526">
        <f>'Annex 3 Total O&amp;M'!G62*$C53</f>
        <v>0</v>
      </c>
      <c r="I53" s="507">
        <f t="shared" si="9"/>
        <v>0</v>
      </c>
      <c r="J53" s="509">
        <f>'Annex 3 Total O&amp;M'!I62*$C53</f>
        <v>778220.79999999993</v>
      </c>
      <c r="K53" s="510">
        <f>'Annex 3 Total O&amp;M'!K62*$C53</f>
        <v>793785.21600000001</v>
      </c>
      <c r="L53" s="510">
        <f>'Annex 3 Total O&amp;M'!M62*$C53</f>
        <v>809660.92032000003</v>
      </c>
      <c r="M53" s="510">
        <f>'Annex 3 Total O&amp;M'!O62*$C53</f>
        <v>825854.13872639998</v>
      </c>
      <c r="N53" s="506">
        <f>'Annex 3 Total O&amp;M'!Q62*C52</f>
        <v>842371.22150092805</v>
      </c>
      <c r="O53" s="506">
        <f>'Annex 3 Total O&amp;M'!S62*C53</f>
        <v>859218.64593094657</v>
      </c>
      <c r="R53" s="515" t="e">
        <f t="shared" si="10"/>
        <v>#DIV/0!</v>
      </c>
      <c r="S53" s="515">
        <f t="shared" si="11"/>
        <v>-1</v>
      </c>
    </row>
    <row r="54" spans="1:19">
      <c r="A54" s="524"/>
      <c r="B54" s="514" t="str">
        <f>'Annex 3 Total O&amp;M'!B65</f>
        <v>ICT expenses</v>
      </c>
      <c r="C54" s="500">
        <v>0.7</v>
      </c>
      <c r="D54" s="506">
        <f>'Annex 3 Total O&amp;M'!C65*$C54</f>
        <v>0</v>
      </c>
      <c r="E54" s="507">
        <f t="shared" si="7"/>
        <v>0</v>
      </c>
      <c r="F54" s="526">
        <f>'Annex 3 Total O&amp;M'!E65*$C54</f>
        <v>0</v>
      </c>
      <c r="G54" s="507">
        <f t="shared" si="8"/>
        <v>0</v>
      </c>
      <c r="H54" s="526">
        <f>'Annex 3 Total O&amp;M'!G65*$C54</f>
        <v>0</v>
      </c>
      <c r="I54" s="507">
        <f t="shared" si="9"/>
        <v>0</v>
      </c>
      <c r="J54" s="509">
        <f>'Annex 3 Total O&amp;M'!I65*$C54</f>
        <v>1070783.7</v>
      </c>
      <c r="K54" s="510">
        <f>'Annex 3 Total O&amp;M'!K65*$C54</f>
        <v>1092199.3740000001</v>
      </c>
      <c r="L54" s="510">
        <f>'Annex 3 Total O&amp;M'!M65*$C54</f>
        <v>1114043.36148</v>
      </c>
      <c r="M54" s="510">
        <f>'Annex 3 Total O&amp;M'!O65*$C54</f>
        <v>1136324.2287095999</v>
      </c>
      <c r="N54" s="506">
        <f>'Annex 3 Total O&amp;M'!Q65*C54</f>
        <v>1159050.7132837919</v>
      </c>
      <c r="O54" s="506">
        <f>'Annex 3 Total O&amp;M'!S65*C54</f>
        <v>1182231.7275494679</v>
      </c>
      <c r="R54" s="515" t="e">
        <f t="shared" si="10"/>
        <v>#DIV/0!</v>
      </c>
      <c r="S54" s="515" t="e">
        <f t="shared" si="11"/>
        <v>#DIV/0!</v>
      </c>
    </row>
    <row r="55" spans="1:19">
      <c r="A55" s="524"/>
      <c r="B55" s="514" t="str">
        <f>'Annex 3 Total O&amp;M'!B66</f>
        <v>Office furniture</v>
      </c>
      <c r="C55" s="500">
        <v>0.7</v>
      </c>
      <c r="D55" s="506">
        <f>'Annex 3 Total O&amp;M'!C66*$C55</f>
        <v>0</v>
      </c>
      <c r="E55" s="507">
        <f t="shared" si="7"/>
        <v>0</v>
      </c>
      <c r="F55" s="526">
        <f>'Annex 3 Total O&amp;M'!E66*$C55</f>
        <v>0</v>
      </c>
      <c r="G55" s="507">
        <f t="shared" si="8"/>
        <v>0</v>
      </c>
      <c r="H55" s="526">
        <f>'Annex 3 Total O&amp;M'!G66*$C55</f>
        <v>0</v>
      </c>
      <c r="I55" s="507">
        <f t="shared" si="9"/>
        <v>0</v>
      </c>
      <c r="J55" s="509">
        <f>'Annex 3 Total O&amp;M'!I66*$C55</f>
        <v>589490.29999999993</v>
      </c>
      <c r="K55" s="510">
        <f>'Annex 3 Total O&amp;M'!K66*$C55</f>
        <v>601280.10599999991</v>
      </c>
      <c r="L55" s="510">
        <f>'Annex 3 Total O&amp;M'!M66*$C55</f>
        <v>613305.70811999997</v>
      </c>
      <c r="M55" s="510">
        <f>'Annex 3 Total O&amp;M'!O66*$C55</f>
        <v>625571.82228239998</v>
      </c>
      <c r="N55" s="506">
        <f>'Annex 3 Total O&amp;M'!Q66*C55</f>
        <v>638083.25872804795</v>
      </c>
      <c r="O55" s="506">
        <f>'Annex 3 Total O&amp;M'!S66*C55</f>
        <v>650844.92390260892</v>
      </c>
      <c r="R55" s="515" t="e">
        <f t="shared" si="10"/>
        <v>#DIV/0!</v>
      </c>
      <c r="S55" s="515" t="e">
        <f t="shared" si="11"/>
        <v>#DIV/0!</v>
      </c>
    </row>
    <row r="56" spans="1:19">
      <c r="A56" s="524"/>
      <c r="B56" s="514" t="str">
        <f>'Annex 3 Total O&amp;M'!B67</f>
        <v>Air Ticket</v>
      </c>
      <c r="C56" s="500">
        <v>0.7</v>
      </c>
      <c r="D56" s="506">
        <f>'Annex 3 Total O&amp;M'!C67*$C56</f>
        <v>0</v>
      </c>
      <c r="E56" s="507">
        <f t="shared" si="7"/>
        <v>0</v>
      </c>
      <c r="F56" s="526">
        <f>'Annex 3 Total O&amp;M'!E67*$C56</f>
        <v>0</v>
      </c>
      <c r="G56" s="507">
        <f t="shared" si="8"/>
        <v>0</v>
      </c>
      <c r="H56" s="526">
        <f>'Annex 3 Total O&amp;M'!G67*$C56</f>
        <v>0</v>
      </c>
      <c r="I56" s="507">
        <f t="shared" si="9"/>
        <v>0</v>
      </c>
      <c r="J56" s="509">
        <f>'Annex 3 Total O&amp;M'!I67*$C56</f>
        <v>465105.89999999997</v>
      </c>
      <c r="K56" s="510">
        <f>'Annex 3 Total O&amp;M'!K67*$C56</f>
        <v>0</v>
      </c>
      <c r="L56" s="510">
        <f>'Annex 3 Total O&amp;M'!M67*$C56</f>
        <v>0</v>
      </c>
      <c r="M56" s="510">
        <f>'Annex 3 Total O&amp;M'!O67*$C56</f>
        <v>0</v>
      </c>
      <c r="N56" s="506">
        <f>'Annex 3 Total O&amp;M'!Q67</f>
        <v>0</v>
      </c>
      <c r="O56" s="506">
        <f>'Annex 3 Total O&amp;M'!S67</f>
        <v>0</v>
      </c>
      <c r="R56" s="515" t="e">
        <f t="shared" si="10"/>
        <v>#DIV/0!</v>
      </c>
      <c r="S56" s="515" t="e">
        <f t="shared" si="11"/>
        <v>#DIV/0!</v>
      </c>
    </row>
    <row r="57" spans="1:19" s="522" customFormat="1">
      <c r="A57" s="516" t="s">
        <v>57</v>
      </c>
      <c r="B57" s="512" t="str">
        <f>'Annex 3 Total O&amp;M'!B68</f>
        <v>Total Administration Costs</v>
      </c>
      <c r="C57" s="517"/>
      <c r="D57" s="518">
        <f t="shared" ref="D57:O57" si="12">SUM(D37:D56)</f>
        <v>21089240.900000002</v>
      </c>
      <c r="E57" s="519">
        <f t="shared" si="12"/>
        <v>0.13440474853709442</v>
      </c>
      <c r="F57" s="520">
        <f t="shared" si="12"/>
        <v>26560480.799999997</v>
      </c>
      <c r="G57" s="519">
        <f t="shared" si="12"/>
        <v>0.14403533498508972</v>
      </c>
      <c r="H57" s="520">
        <f t="shared" si="12"/>
        <v>20945723.399999999</v>
      </c>
      <c r="I57" s="519">
        <f t="shared" si="12"/>
        <v>0.12806171864468385</v>
      </c>
      <c r="J57" s="521">
        <f t="shared" si="12"/>
        <v>28213042.199999996</v>
      </c>
      <c r="K57" s="518">
        <f t="shared" si="12"/>
        <v>28302895.026000004</v>
      </c>
      <c r="L57" s="518">
        <f t="shared" si="12"/>
        <v>28868952.926520001</v>
      </c>
      <c r="M57" s="518">
        <f t="shared" si="12"/>
        <v>29446331.985050395</v>
      </c>
      <c r="N57" s="518">
        <f>SUM(N37:N56)</f>
        <v>30035258.624751419</v>
      </c>
      <c r="O57" s="518">
        <f t="shared" si="12"/>
        <v>30635963.797246438</v>
      </c>
      <c r="R57" s="523">
        <f t="shared" si="10"/>
        <v>0.25943275653890385</v>
      </c>
      <c r="S57" s="523">
        <f t="shared" si="11"/>
        <v>-0.21139517173198152</v>
      </c>
    </row>
    <row r="58" spans="1:19">
      <c r="A58" s="527"/>
      <c r="B58" s="501"/>
      <c r="C58" s="528"/>
      <c r="D58" s="501"/>
      <c r="E58" s="501"/>
      <c r="F58" s="502"/>
      <c r="G58" s="501"/>
      <c r="H58" s="502"/>
      <c r="I58" s="501"/>
      <c r="J58" s="503"/>
      <c r="K58" s="501"/>
      <c r="L58" s="501"/>
      <c r="M58" s="501"/>
      <c r="N58" s="501"/>
      <c r="O58" s="501"/>
      <c r="R58" s="515"/>
      <c r="S58" s="515"/>
    </row>
    <row r="59" spans="1:19">
      <c r="A59" s="516"/>
      <c r="B59" s="512" t="s">
        <v>56</v>
      </c>
      <c r="C59" s="517"/>
      <c r="D59" s="501"/>
      <c r="E59" s="501"/>
      <c r="F59" s="502"/>
      <c r="G59" s="501"/>
      <c r="H59" s="502"/>
      <c r="I59" s="501"/>
      <c r="J59" s="503"/>
      <c r="K59" s="501"/>
      <c r="L59" s="501"/>
      <c r="M59" s="501"/>
      <c r="N59" s="501"/>
      <c r="O59" s="501"/>
      <c r="R59" s="515"/>
      <c r="S59" s="515"/>
    </row>
    <row r="60" spans="1:19">
      <c r="A60" s="516"/>
      <c r="B60" s="514" t="str">
        <f>'Annex 3 Total O&amp;M'!B71</f>
        <v>Directors Emoluments</v>
      </c>
      <c r="C60" s="500">
        <v>0.7</v>
      </c>
      <c r="D60" s="506">
        <f>'Annex 3 Total O&amp;M'!C71*$C60</f>
        <v>2858082.5</v>
      </c>
      <c r="E60" s="507">
        <f>D60/$D$72</f>
        <v>1.8214968548762232E-2</v>
      </c>
      <c r="F60" s="526">
        <f>'Annex 3 Total O&amp;M'!E71*$C60</f>
        <v>2333786</v>
      </c>
      <c r="G60" s="507">
        <f>F60/$F$72</f>
        <v>1.2655932353962233E-2</v>
      </c>
      <c r="H60" s="526">
        <f>'Annex 3 Total O&amp;M'!G71*$C60</f>
        <v>1838620.7</v>
      </c>
      <c r="I60" s="507">
        <f>H60/$H$72</f>
        <v>1.1241288843606695E-2</v>
      </c>
      <c r="J60" s="509">
        <f>'Annex 3 Total O&amp;M'!I71*$C60</f>
        <v>1824795</v>
      </c>
      <c r="K60" s="510">
        <f>'Annex 3 Total O&amp;M'!K71*$C60</f>
        <v>1843042.95</v>
      </c>
      <c r="L60" s="510">
        <f>'Annex 3 Total O&amp;M'!M71*$C60</f>
        <v>1861473.3794999998</v>
      </c>
      <c r="M60" s="510">
        <f>'Annex 3 Total O&amp;M'!O71*$C60</f>
        <v>1880088.113295</v>
      </c>
      <c r="N60" s="510">
        <f>'Annex 3 Total O&amp;M'!Q71*$C60</f>
        <v>1898888.9944279501</v>
      </c>
      <c r="O60" s="510">
        <f>'Annex 3 Total O&amp;M'!S71*$C60</f>
        <v>1917877.8843722297</v>
      </c>
      <c r="R60" s="515"/>
      <c r="S60" s="515"/>
    </row>
    <row r="61" spans="1:19">
      <c r="A61" s="524"/>
      <c r="B61" s="514" t="str">
        <f>'Annex 3 Total O&amp;M'!B72</f>
        <v>Honoraria</v>
      </c>
      <c r="C61" s="500">
        <v>0.7</v>
      </c>
      <c r="D61" s="506">
        <f>'Annex 3 Total O&amp;M'!C72*$C61</f>
        <v>714000</v>
      </c>
      <c r="E61" s="507">
        <f>D61/$D$72</f>
        <v>4.5504241196033472E-3</v>
      </c>
      <c r="F61" s="526">
        <f>'Annex 3 Total O&amp;M'!E72*$C61</f>
        <v>475999.99999999994</v>
      </c>
      <c r="G61" s="507">
        <f>F61/$F$72</f>
        <v>2.5813094261796163E-3</v>
      </c>
      <c r="H61" s="526">
        <f>'Annex 3 Total O&amp;M'!G72*$C61</f>
        <v>423500</v>
      </c>
      <c r="I61" s="507">
        <f>H61/$H$72</f>
        <v>2.5892702204796426E-3</v>
      </c>
      <c r="J61" s="509">
        <f>'Annex 3 Total O&amp;M'!I72*$C61</f>
        <v>461999.99999999994</v>
      </c>
      <c r="K61" s="510">
        <f>'Annex 3 Total O&amp;M'!K72*$C61</f>
        <v>466619.99999999994</v>
      </c>
      <c r="L61" s="510">
        <f>'Annex 3 Total O&amp;M'!M72*$C61</f>
        <v>471286.19999999995</v>
      </c>
      <c r="M61" s="510">
        <f>'Annex 3 Total O&amp;M'!O72*$C61</f>
        <v>475999.06199999998</v>
      </c>
      <c r="N61" s="510">
        <f>'Annex 3 Total O&amp;M'!Q72*$C61</f>
        <v>480759.05262000003</v>
      </c>
      <c r="O61" s="510">
        <f>'Annex 3 Total O&amp;M'!S72*$C61</f>
        <v>485566.64314619999</v>
      </c>
      <c r="R61" s="515">
        <f>F61/D61-1</f>
        <v>-0.33333333333333337</v>
      </c>
      <c r="S61" s="515">
        <f>H61/F61-1</f>
        <v>-0.11029411764705876</v>
      </c>
    </row>
    <row r="62" spans="1:19" s="522" customFormat="1">
      <c r="A62" s="516" t="s">
        <v>59</v>
      </c>
      <c r="B62" s="512" t="s">
        <v>58</v>
      </c>
      <c r="C62" s="517"/>
      <c r="D62" s="518">
        <f t="shared" ref="D62:O62" si="13">SUM(D60:D61)</f>
        <v>3572082.5</v>
      </c>
      <c r="E62" s="519">
        <f t="shared" si="13"/>
        <v>2.2765392668365581E-2</v>
      </c>
      <c r="F62" s="520">
        <f t="shared" si="13"/>
        <v>2809786</v>
      </c>
      <c r="G62" s="519">
        <f t="shared" si="13"/>
        <v>1.5237241780141849E-2</v>
      </c>
      <c r="H62" s="520">
        <f t="shared" si="13"/>
        <v>2262120.7000000002</v>
      </c>
      <c r="I62" s="519">
        <f t="shared" si="13"/>
        <v>1.3830559064086338E-2</v>
      </c>
      <c r="J62" s="529">
        <f t="shared" si="13"/>
        <v>2286795</v>
      </c>
      <c r="K62" s="530">
        <f t="shared" si="13"/>
        <v>2309662.9499999997</v>
      </c>
      <c r="L62" s="530">
        <f t="shared" si="13"/>
        <v>2332759.5795</v>
      </c>
      <c r="M62" s="530">
        <f t="shared" si="13"/>
        <v>2356087.175295</v>
      </c>
      <c r="N62" s="530">
        <f t="shared" si="13"/>
        <v>2379648.0470479503</v>
      </c>
      <c r="O62" s="530">
        <f t="shared" si="13"/>
        <v>2403444.5275184298</v>
      </c>
      <c r="R62" s="515">
        <f>F62/D62-1</f>
        <v>-0.21340394573753541</v>
      </c>
      <c r="S62" s="515">
        <f>H62/F62-1</f>
        <v>-0.19491352722235777</v>
      </c>
    </row>
    <row r="63" spans="1:19">
      <c r="A63" s="524"/>
      <c r="B63" s="514"/>
      <c r="C63" s="525"/>
      <c r="D63" s="501"/>
      <c r="E63" s="501"/>
      <c r="F63" s="502"/>
      <c r="G63" s="501"/>
      <c r="H63" s="502"/>
      <c r="I63" s="501"/>
      <c r="J63" s="503"/>
      <c r="K63" s="501"/>
      <c r="L63" s="501"/>
      <c r="M63" s="501"/>
      <c r="N63" s="501"/>
      <c r="O63" s="501"/>
      <c r="R63" s="515"/>
      <c r="S63" s="515"/>
    </row>
    <row r="64" spans="1:19">
      <c r="A64" s="524"/>
      <c r="B64" s="279" t="s">
        <v>417</v>
      </c>
      <c r="C64" s="517"/>
      <c r="D64" s="501"/>
      <c r="E64" s="501"/>
      <c r="F64" s="502"/>
      <c r="G64" s="501"/>
      <c r="H64" s="502"/>
      <c r="I64" s="501"/>
      <c r="J64" s="503"/>
      <c r="K64" s="501"/>
      <c r="L64" s="501"/>
      <c r="M64" s="501"/>
      <c r="N64" s="501"/>
      <c r="O64" s="501"/>
      <c r="R64" s="515"/>
      <c r="S64" s="515"/>
    </row>
    <row r="65" spans="1:19">
      <c r="A65" s="527"/>
      <c r="B65" s="514" t="str">
        <f>'Annex 3 Total O&amp;M'!B76</f>
        <v>License fee(WASREB)</v>
      </c>
      <c r="C65" s="500">
        <v>0.7</v>
      </c>
      <c r="D65" s="506">
        <f>'Annex 3 Total O&amp;M'!C76*$C65</f>
        <v>70000</v>
      </c>
      <c r="E65" s="507">
        <f>D65/$D$72</f>
        <v>4.4612001172581839E-4</v>
      </c>
      <c r="F65" s="502">
        <f>'Annex 3 Total O&amp;M'!E76*$C65</f>
        <v>5015782.0999999996</v>
      </c>
      <c r="G65" s="507">
        <f>F65/$F$72</f>
        <v>2.7200179862170149E-2</v>
      </c>
      <c r="H65" s="502">
        <f>'Annex 3 Total O&amp;M'!G76*$C65</f>
        <v>6164816</v>
      </c>
      <c r="I65" s="507">
        <f>H65/$H$72</f>
        <v>3.7691557222045882E-2</v>
      </c>
      <c r="J65" s="509">
        <f>'Annex 3 Total O&amp;M'!I76*$C65</f>
        <v>7042989.6961200004</v>
      </c>
      <c r="K65" s="510">
        <f>'Annex 3 Total O&amp;M'!K76*$C65</f>
        <v>12695331.046356307</v>
      </c>
      <c r="L65" s="510">
        <f>'Annex 3 Total O&amp;M'!M76*$C65</f>
        <v>12772600.733029015</v>
      </c>
      <c r="M65" s="510">
        <f>'Annex 3 Total O&amp;M'!O76*$C65</f>
        <v>12900326.740359304</v>
      </c>
      <c r="N65" s="510">
        <f>'Annex 3 Total O&amp;M'!Q76*$C65</f>
        <v>12965647.449637789</v>
      </c>
      <c r="O65" s="510">
        <f>'Annex 3 Total O&amp;M'!S76*$C65</f>
        <v>13158884.200693341</v>
      </c>
      <c r="R65" s="515">
        <f>F65/D65-1</f>
        <v>70.654029999999992</v>
      </c>
      <c r="S65" s="515">
        <f>H65/F65-1</f>
        <v>0.22908369564140374</v>
      </c>
    </row>
    <row r="66" spans="1:19" s="522" customFormat="1">
      <c r="A66" s="531" t="s">
        <v>60</v>
      </c>
      <c r="B66" s="279" t="s">
        <v>351</v>
      </c>
      <c r="C66" s="517"/>
      <c r="D66" s="518">
        <f t="shared" ref="D66:O66" si="14">SUM(D65)</f>
        <v>70000</v>
      </c>
      <c r="E66" s="519">
        <f t="shared" si="14"/>
        <v>4.4612001172581839E-4</v>
      </c>
      <c r="F66" s="520">
        <f t="shared" si="14"/>
        <v>5015782.0999999996</v>
      </c>
      <c r="G66" s="519">
        <f t="shared" si="14"/>
        <v>2.7200179862170149E-2</v>
      </c>
      <c r="H66" s="520">
        <f t="shared" si="14"/>
        <v>6164816</v>
      </c>
      <c r="I66" s="519">
        <f>SUM(I65)</f>
        <v>3.7691557222045882E-2</v>
      </c>
      <c r="J66" s="529">
        <f t="shared" si="14"/>
        <v>7042989.6961200004</v>
      </c>
      <c r="K66" s="530">
        <f t="shared" si="14"/>
        <v>12695331.046356307</v>
      </c>
      <c r="L66" s="530">
        <f t="shared" si="14"/>
        <v>12772600.733029015</v>
      </c>
      <c r="M66" s="530">
        <f t="shared" si="14"/>
        <v>12900326.740359304</v>
      </c>
      <c r="N66" s="530">
        <f t="shared" si="14"/>
        <v>12965647.449637789</v>
      </c>
      <c r="O66" s="530">
        <f t="shared" si="14"/>
        <v>13158884.200693341</v>
      </c>
      <c r="R66" s="523">
        <f>F66/D66-1</f>
        <v>70.654029999999992</v>
      </c>
      <c r="S66" s="523">
        <f>H66/F66-1</f>
        <v>0.22908369564140374</v>
      </c>
    </row>
    <row r="67" spans="1:19">
      <c r="A67" s="527"/>
      <c r="B67" s="501"/>
      <c r="C67" s="528"/>
      <c r="D67" s="501"/>
      <c r="E67" s="501"/>
      <c r="F67" s="502"/>
      <c r="G67" s="501"/>
      <c r="H67" s="502"/>
      <c r="I67" s="501"/>
      <c r="J67" s="503"/>
      <c r="K67" s="501"/>
      <c r="L67" s="501"/>
      <c r="M67" s="501"/>
      <c r="N67" s="501"/>
      <c r="O67" s="501"/>
      <c r="R67" s="515"/>
      <c r="S67" s="515"/>
    </row>
    <row r="68" spans="1:19">
      <c r="B68" s="512" t="s">
        <v>62</v>
      </c>
      <c r="C68" s="528"/>
      <c r="D68" s="501"/>
      <c r="E68" s="501"/>
      <c r="F68" s="502"/>
      <c r="G68" s="501"/>
      <c r="H68" s="502"/>
      <c r="I68" s="501"/>
      <c r="J68" s="503"/>
      <c r="K68" s="501"/>
      <c r="L68" s="501"/>
      <c r="M68" s="501"/>
      <c r="N68" s="501"/>
      <c r="O68" s="501"/>
      <c r="R68" s="515"/>
      <c r="S68" s="515"/>
    </row>
    <row r="69" spans="1:19">
      <c r="A69" s="516"/>
      <c r="B69" s="514">
        <f>'Annex 3 Total O&amp;M'!B80</f>
        <v>0</v>
      </c>
      <c r="C69" s="500">
        <v>0.7</v>
      </c>
      <c r="D69" s="506">
        <f>'Annex 3 Total O&amp;M'!C80*$C69</f>
        <v>0</v>
      </c>
      <c r="E69" s="507">
        <f>D69/$D$72</f>
        <v>0</v>
      </c>
      <c r="F69" s="526">
        <f>'Annex 3 Total O&amp;M'!E80*$C69</f>
        <v>0</v>
      </c>
      <c r="G69" s="507">
        <f>F69/$F$72</f>
        <v>0</v>
      </c>
      <c r="H69" s="526">
        <f>'Annex 3 Total O&amp;M'!G80*$C69</f>
        <v>0</v>
      </c>
      <c r="I69" s="507">
        <f>H69/$H$72</f>
        <v>0</v>
      </c>
      <c r="J69" s="509">
        <f>'Annex 3 Total O&amp;M'!I80*$C69</f>
        <v>0</v>
      </c>
      <c r="K69" s="510">
        <f>'Annex 3 Total O&amp;M'!K80*$C69</f>
        <v>0</v>
      </c>
      <c r="L69" s="510">
        <f>'Annex 3 Total O&amp;M'!M80*$C69</f>
        <v>0</v>
      </c>
      <c r="M69" s="510">
        <f>'Annex 3 Total O&amp;M'!O80*$C69</f>
        <v>0</v>
      </c>
      <c r="N69" s="510">
        <f>'Annex 3 Total O&amp;M'!Q80*$C69</f>
        <v>0</v>
      </c>
      <c r="O69" s="510">
        <f>'Annex 3 Total O&amp;M'!S80*$C69</f>
        <v>0</v>
      </c>
      <c r="R69" s="515" t="e">
        <f>F69/D69-1</f>
        <v>#DIV/0!</v>
      </c>
      <c r="S69" s="515" t="e">
        <f>H69/F69-1</f>
        <v>#DIV/0!</v>
      </c>
    </row>
    <row r="70" spans="1:19" s="522" customFormat="1">
      <c r="A70" s="516" t="s">
        <v>61</v>
      </c>
      <c r="B70" s="512" t="s">
        <v>352</v>
      </c>
      <c r="C70" s="533"/>
      <c r="D70" s="518">
        <f t="shared" ref="D70:J70" si="15">SUM(D69)</f>
        <v>0</v>
      </c>
      <c r="E70" s="519">
        <f t="shared" si="15"/>
        <v>0</v>
      </c>
      <c r="F70" s="520">
        <f t="shared" si="15"/>
        <v>0</v>
      </c>
      <c r="G70" s="519">
        <f t="shared" si="15"/>
        <v>0</v>
      </c>
      <c r="H70" s="520">
        <f t="shared" si="15"/>
        <v>0</v>
      </c>
      <c r="I70" s="519">
        <f t="shared" si="15"/>
        <v>0</v>
      </c>
      <c r="J70" s="529">
        <f t="shared" si="15"/>
        <v>0</v>
      </c>
      <c r="K70" s="280">
        <f>SUM(K69)</f>
        <v>0</v>
      </c>
      <c r="L70" s="530">
        <f>SUM(L69)</f>
        <v>0</v>
      </c>
      <c r="M70" s="530">
        <f>SUM(M69)</f>
        <v>0</v>
      </c>
      <c r="N70" s="530">
        <f>SUM(N69)</f>
        <v>0</v>
      </c>
      <c r="O70" s="530">
        <f>SUM(O69)</f>
        <v>0</v>
      </c>
      <c r="R70" s="523" t="e">
        <f>F70/D70-1</f>
        <v>#DIV/0!</v>
      </c>
      <c r="S70" s="523" t="e">
        <f>H70/F70-1</f>
        <v>#DIV/0!</v>
      </c>
    </row>
    <row r="71" spans="1:19">
      <c r="A71" s="527"/>
      <c r="B71" s="501"/>
      <c r="C71" s="528"/>
      <c r="D71" s="501"/>
      <c r="E71" s="501"/>
      <c r="F71" s="502"/>
      <c r="G71" s="501"/>
      <c r="H71" s="502"/>
      <c r="I71" s="501"/>
      <c r="J71" s="503"/>
      <c r="K71" s="501"/>
      <c r="L71" s="501"/>
      <c r="M71" s="501"/>
      <c r="N71" s="501"/>
      <c r="O71" s="501"/>
      <c r="R71" s="515"/>
      <c r="S71" s="515"/>
    </row>
    <row r="72" spans="1:19" s="522" customFormat="1">
      <c r="A72" s="516" t="s">
        <v>882</v>
      </c>
      <c r="B72" s="512" t="s">
        <v>888</v>
      </c>
      <c r="C72" s="533"/>
      <c r="D72" s="518">
        <f t="shared" ref="D72:O72" si="16">D5+D30+D35+D57+D62+D66+D70</f>
        <v>156908451</v>
      </c>
      <c r="E72" s="535">
        <f t="shared" si="16"/>
        <v>1</v>
      </c>
      <c r="F72" s="518">
        <f t="shared" si="16"/>
        <v>184402534.29999998</v>
      </c>
      <c r="G72" s="535">
        <f t="shared" si="16"/>
        <v>1</v>
      </c>
      <c r="H72" s="518">
        <f t="shared" si="16"/>
        <v>163559599.39999998</v>
      </c>
      <c r="I72" s="535">
        <f t="shared" si="16"/>
        <v>1.0000000000000002</v>
      </c>
      <c r="J72" s="521">
        <f t="shared" si="16"/>
        <v>205190086.59611997</v>
      </c>
      <c r="K72" s="518">
        <f t="shared" si="16"/>
        <v>210486876.99935627</v>
      </c>
      <c r="L72" s="518">
        <f t="shared" si="16"/>
        <v>213606050.73115903</v>
      </c>
      <c r="M72" s="518">
        <f t="shared" si="16"/>
        <v>217428298.0635826</v>
      </c>
      <c r="N72" s="518">
        <f t="shared" si="16"/>
        <v>221258809.04770759</v>
      </c>
      <c r="O72" s="518">
        <f t="shared" si="16"/>
        <v>225303627.67765644</v>
      </c>
      <c r="R72" s="523">
        <f>F72/D72-1</f>
        <v>0.17522372520266605</v>
      </c>
      <c r="S72" s="523">
        <f>H72/F72-1</f>
        <v>-0.11302954690465994</v>
      </c>
    </row>
    <row r="73" spans="1:19">
      <c r="A73" s="527"/>
      <c r="B73" s="501"/>
      <c r="C73" s="528"/>
      <c r="D73" s="501"/>
      <c r="E73" s="501"/>
      <c r="F73" s="502"/>
      <c r="G73" s="501"/>
      <c r="H73" s="502"/>
      <c r="I73" s="501"/>
      <c r="J73" s="503"/>
      <c r="K73" s="501"/>
      <c r="L73" s="501"/>
      <c r="M73" s="501"/>
      <c r="N73" s="501"/>
      <c r="O73" s="501"/>
      <c r="R73" s="515"/>
    </row>
    <row r="74" spans="1:19">
      <c r="A74" s="498" t="s">
        <v>63</v>
      </c>
      <c r="B74" s="512"/>
      <c r="C74" s="528"/>
      <c r="D74" s="501"/>
      <c r="E74" s="501"/>
      <c r="F74" s="502"/>
      <c r="G74" s="501"/>
      <c r="H74" s="502"/>
      <c r="I74" s="501"/>
      <c r="J74" s="503"/>
      <c r="K74" s="501"/>
      <c r="L74" s="501"/>
      <c r="M74" s="501"/>
      <c r="N74" s="501"/>
      <c r="O74" s="501"/>
      <c r="R74" s="515"/>
    </row>
    <row r="75" spans="1:19">
      <c r="A75" s="1687"/>
      <c r="B75" s="543" t="str">
        <f>'Annex 3 Total O&amp;M'!B86</f>
        <v>To Increase water production and supply</v>
      </c>
      <c r="C75" s="537">
        <v>1</v>
      </c>
      <c r="D75" s="501"/>
      <c r="E75" s="501"/>
      <c r="F75" s="502"/>
      <c r="G75" s="501"/>
      <c r="H75" s="502"/>
      <c r="I75" s="501"/>
      <c r="J75" s="503"/>
      <c r="K75" s="506">
        <f>'Annex 3 Total O&amp;M'!K86</f>
        <v>1000000</v>
      </c>
      <c r="L75" s="506">
        <f>'Annex 3 Total O&amp;M'!M86</f>
        <v>2000000</v>
      </c>
      <c r="M75" s="506">
        <f>'Annex 3 Total O&amp;M'!O86</f>
        <v>3000000</v>
      </c>
      <c r="N75" s="506">
        <f>'Annex 3 Total O&amp;M'!Q86</f>
        <v>4000000</v>
      </c>
      <c r="O75" s="506">
        <f>'Annex 3 Total O&amp;M'!S86</f>
        <v>11000000</v>
      </c>
      <c r="R75" s="515"/>
    </row>
    <row r="76" spans="1:19">
      <c r="A76" s="1687"/>
      <c r="B76" s="543" t="str">
        <f>'Annex 3 Total O&amp;M'!B87</f>
        <v>To increase sanitation coverage</v>
      </c>
      <c r="C76" s="537">
        <v>0.3</v>
      </c>
      <c r="D76" s="501"/>
      <c r="E76" s="501"/>
      <c r="F76" s="502"/>
      <c r="G76" s="501"/>
      <c r="H76" s="502"/>
      <c r="I76" s="501"/>
      <c r="J76" s="503"/>
      <c r="K76" s="506">
        <f>'Annex 3 Total O&amp;M'!K87*C76</f>
        <v>150000</v>
      </c>
      <c r="L76" s="506">
        <f>'Annex 3 Total O&amp;M'!M87*C76</f>
        <v>300000</v>
      </c>
      <c r="M76" s="506">
        <f>'Annex 3 Total O&amp;M'!O87*C76</f>
        <v>450000</v>
      </c>
      <c r="N76" s="506">
        <f>'Annex 3 Total O&amp;M'!Q87*C76</f>
        <v>600000</v>
      </c>
      <c r="O76" s="506">
        <f>'Annex 3 Total O&amp;M'!S87*C76</f>
        <v>2400000</v>
      </c>
      <c r="R76" s="515"/>
    </row>
    <row r="77" spans="1:19">
      <c r="A77" s="1687"/>
      <c r="B77" s="543" t="str">
        <f>'Annex 3 Total O&amp;M'!B88</f>
        <v>Reduce operational costs/ Solarization</v>
      </c>
      <c r="C77" s="537">
        <v>1</v>
      </c>
      <c r="D77" s="501"/>
      <c r="E77" s="501"/>
      <c r="F77" s="502"/>
      <c r="G77" s="501"/>
      <c r="H77" s="502"/>
      <c r="I77" s="501"/>
      <c r="J77" s="503"/>
      <c r="K77" s="506">
        <f>'Annex 3 Total O&amp;M'!K88</f>
        <v>500000</v>
      </c>
      <c r="L77" s="506">
        <f>'Annex 3 Total O&amp;M'!M88</f>
        <v>1000000</v>
      </c>
      <c r="M77" s="506">
        <f>'Annex 3 Total O&amp;M'!O88</f>
        <v>1500000</v>
      </c>
      <c r="N77" s="506">
        <f>'Annex 3 Total O&amp;M'!Q88</f>
        <v>2000000</v>
      </c>
      <c r="O77" s="506">
        <f>'Annex 3 Total O&amp;M'!S88</f>
        <v>2000000</v>
      </c>
      <c r="R77" s="515"/>
    </row>
    <row r="78" spans="1:19">
      <c r="A78" s="1687"/>
      <c r="B78" s="543" t="str">
        <f>'Annex 3 Total O&amp;M'!B89</f>
        <v>Reduction of NRW</v>
      </c>
      <c r="C78" s="537">
        <v>1</v>
      </c>
      <c r="D78" s="501"/>
      <c r="E78" s="501"/>
      <c r="F78" s="502"/>
      <c r="G78" s="501"/>
      <c r="H78" s="502"/>
      <c r="I78" s="501"/>
      <c r="J78" s="503"/>
      <c r="K78" s="506">
        <f>'Annex 3 Total O&amp;M'!K89</f>
        <v>3400000</v>
      </c>
      <c r="L78" s="506">
        <f>'Annex 3 Total O&amp;M'!M89</f>
        <v>7300000</v>
      </c>
      <c r="M78" s="506">
        <f>'Annex 3 Total O&amp;M'!O89</f>
        <v>11000000</v>
      </c>
      <c r="N78" s="506">
        <f>'Annex 3 Total O&amp;M'!Q89</f>
        <v>13500000</v>
      </c>
      <c r="O78" s="506">
        <f>'Annex 3 Total O&amp;M'!S89</f>
        <v>15500000</v>
      </c>
      <c r="R78" s="515"/>
    </row>
    <row r="79" spans="1:19">
      <c r="A79" s="1687"/>
      <c r="B79" s="543" t="str">
        <f>'Annex 3 Total O&amp;M'!B90</f>
        <v>To enhance water quality and sewer effluent quality</v>
      </c>
      <c r="C79" s="537">
        <v>0.7</v>
      </c>
      <c r="D79" s="501"/>
      <c r="E79" s="501"/>
      <c r="F79" s="502"/>
      <c r="G79" s="501"/>
      <c r="H79" s="502"/>
      <c r="I79" s="501"/>
      <c r="J79" s="503"/>
      <c r="K79" s="506">
        <f>'Annex 3 Total O&amp;M'!K90*C79</f>
        <v>350000</v>
      </c>
      <c r="L79" s="506">
        <f>'Annex 3 Total O&amp;M'!M90*C79</f>
        <v>280000</v>
      </c>
      <c r="M79" s="506">
        <f>'Annex 3 Total O&amp;M'!O90*C79</f>
        <v>420000</v>
      </c>
      <c r="N79" s="506">
        <f>'Annex 3 Total O&amp;M'!Q90*C79</f>
        <v>560000</v>
      </c>
      <c r="O79" s="506">
        <f>'Annex 3 Total O&amp;M'!S90*C79</f>
        <v>700000</v>
      </c>
      <c r="R79" s="515"/>
    </row>
    <row r="80" spans="1:19">
      <c r="A80" s="527"/>
      <c r="B80" s="488"/>
      <c r="C80" s="537"/>
      <c r="D80" s="501"/>
      <c r="E80" s="501"/>
      <c r="F80" s="526"/>
      <c r="G80" s="501"/>
      <c r="H80" s="526"/>
      <c r="I80" s="501"/>
      <c r="J80" s="538"/>
      <c r="K80" s="506"/>
      <c r="L80" s="506"/>
      <c r="M80" s="506"/>
      <c r="N80" s="501"/>
      <c r="O80" s="501"/>
    </row>
    <row r="81" spans="1:15">
      <c r="A81" s="527"/>
      <c r="B81" s="279" t="s">
        <v>22</v>
      </c>
      <c r="C81" s="500">
        <v>0.7</v>
      </c>
      <c r="D81" s="501">
        <v>0</v>
      </c>
      <c r="E81" s="501"/>
      <c r="F81" s="520">
        <v>0</v>
      </c>
      <c r="G81" s="501"/>
      <c r="H81" s="520">
        <f>SUM(H80:H80)</f>
        <v>0</v>
      </c>
      <c r="I81" s="501"/>
      <c r="J81" s="509">
        <f>'Annex 3 Total O&amp;M'!K91*$C81</f>
        <v>4129999.9999999995</v>
      </c>
      <c r="K81" s="510">
        <f>SUM(K75:K80)</f>
        <v>5400000</v>
      </c>
      <c r="L81" s="510">
        <f>SUM(L75:L80)</f>
        <v>10880000</v>
      </c>
      <c r="M81" s="506">
        <f>SUM(M75:M80)</f>
        <v>16370000</v>
      </c>
      <c r="N81" s="506">
        <f>SUM(N75:N80)</f>
        <v>20660000</v>
      </c>
      <c r="O81" s="506">
        <f>SUM(O75:O80)</f>
        <v>31600000</v>
      </c>
    </row>
    <row r="82" spans="1:15">
      <c r="A82" s="527"/>
      <c r="B82" s="501"/>
      <c r="C82" s="528"/>
      <c r="D82" s="501"/>
      <c r="E82" s="501"/>
      <c r="F82" s="502"/>
      <c r="G82" s="501"/>
      <c r="H82" s="502"/>
      <c r="I82" s="501"/>
      <c r="J82" s="503"/>
      <c r="K82" s="501"/>
      <c r="L82" s="501"/>
      <c r="M82" s="501"/>
      <c r="N82" s="501"/>
      <c r="O82" s="501"/>
    </row>
    <row r="83" spans="1:15">
      <c r="A83" s="498" t="s">
        <v>64</v>
      </c>
      <c r="B83" s="512"/>
      <c r="C83" s="528"/>
      <c r="D83" s="501"/>
      <c r="E83" s="501"/>
      <c r="F83" s="502"/>
      <c r="G83" s="501"/>
      <c r="H83" s="502"/>
      <c r="I83" s="501"/>
      <c r="J83" s="503"/>
      <c r="K83" s="501"/>
      <c r="L83" s="501"/>
      <c r="M83" s="501"/>
      <c r="N83" s="501"/>
      <c r="O83" s="501"/>
    </row>
    <row r="84" spans="1:15">
      <c r="A84" s="527"/>
      <c r="B84" s="514"/>
      <c r="C84" s="528"/>
      <c r="D84" s="501"/>
      <c r="E84" s="501"/>
      <c r="F84" s="502"/>
      <c r="G84" s="501"/>
      <c r="H84" s="502"/>
      <c r="I84" s="501"/>
      <c r="J84" s="503"/>
      <c r="K84" s="501"/>
      <c r="L84" s="501"/>
      <c r="M84" s="501"/>
      <c r="N84" s="501"/>
      <c r="O84" s="501"/>
    </row>
    <row r="85" spans="1:15">
      <c r="A85" s="527"/>
      <c r="B85" s="514"/>
      <c r="C85" s="528"/>
      <c r="D85" s="501"/>
      <c r="E85" s="501"/>
      <c r="F85" s="502"/>
      <c r="G85" s="501"/>
      <c r="H85" s="502"/>
      <c r="I85" s="501"/>
      <c r="J85" s="503"/>
      <c r="K85" s="501"/>
      <c r="L85" s="501"/>
      <c r="M85" s="501"/>
      <c r="N85" s="501"/>
      <c r="O85" s="501"/>
    </row>
    <row r="86" spans="1:15">
      <c r="A86" s="527"/>
      <c r="B86" s="512" t="s">
        <v>65</v>
      </c>
      <c r="C86" s="500">
        <v>0.7</v>
      </c>
      <c r="D86" s="501">
        <v>0</v>
      </c>
      <c r="E86" s="501"/>
      <c r="F86" s="502">
        <v>0</v>
      </c>
      <c r="G86" s="501"/>
      <c r="H86" s="502">
        <v>0</v>
      </c>
      <c r="I86" s="501"/>
      <c r="J86" s="509">
        <f>'Annex 3 Total O&amp;M'!I95*$C86</f>
        <v>0</v>
      </c>
      <c r="K86" s="510">
        <f>'Annex 3 Total O&amp;M'!K94*$C86</f>
        <v>69907131.27888</v>
      </c>
      <c r="L86" s="510">
        <f>'Annex 3 Total O&amp;M'!M94*C86</f>
        <v>138696017.90687996</v>
      </c>
      <c r="M86" s="510">
        <f>'Annex 3 Total O&amp;M'!O94*C86</f>
        <v>137577773.25599998</v>
      </c>
      <c r="N86" s="510">
        <f>'Annex 3 Total O&amp;M'!Q94*C86</f>
        <v>136459528.60512</v>
      </c>
      <c r="O86" s="501">
        <f>'Annex 3 Total O&amp;M'!S94*C86</f>
        <v>135341283.95423999</v>
      </c>
    </row>
    <row r="87" spans="1:15">
      <c r="A87" s="527"/>
      <c r="B87" s="501"/>
      <c r="C87" s="528"/>
      <c r="D87" s="501"/>
      <c r="E87" s="501"/>
      <c r="F87" s="502"/>
      <c r="G87" s="501"/>
      <c r="H87" s="502"/>
      <c r="I87" s="501"/>
      <c r="J87" s="503"/>
      <c r="K87" s="501"/>
      <c r="L87" s="501"/>
      <c r="M87" s="501"/>
      <c r="N87" s="501"/>
      <c r="O87" s="501"/>
    </row>
    <row r="88" spans="1:15" s="522" customFormat="1">
      <c r="A88" s="498" t="s">
        <v>66</v>
      </c>
      <c r="B88" s="512"/>
      <c r="C88" s="533"/>
      <c r="D88" s="518">
        <f>D72+D81+D86</f>
        <v>156908451</v>
      </c>
      <c r="E88" s="279"/>
      <c r="F88" s="520">
        <f>F72+F81+F86</f>
        <v>184402534.29999998</v>
      </c>
      <c r="G88" s="279"/>
      <c r="H88" s="520">
        <f>H72+H81+H86</f>
        <v>163559599.39999998</v>
      </c>
      <c r="I88" s="279"/>
      <c r="J88" s="521">
        <f t="shared" ref="J88:O88" si="17">J72+J81+J86</f>
        <v>209320086.59611997</v>
      </c>
      <c r="K88" s="518">
        <f t="shared" si="17"/>
        <v>285794008.27823627</v>
      </c>
      <c r="L88" s="518">
        <f t="shared" si="17"/>
        <v>363182068.63803899</v>
      </c>
      <c r="M88" s="518">
        <f t="shared" si="17"/>
        <v>371376071.31958258</v>
      </c>
      <c r="N88" s="518">
        <f t="shared" si="17"/>
        <v>378378337.65282762</v>
      </c>
      <c r="O88" s="518">
        <f t="shared" si="17"/>
        <v>392244911.63189644</v>
      </c>
    </row>
    <row r="89" spans="1:15">
      <c r="A89" s="527"/>
      <c r="B89" s="501"/>
      <c r="C89" s="528"/>
      <c r="D89" s="501"/>
      <c r="E89" s="501"/>
      <c r="F89" s="502"/>
      <c r="G89" s="501"/>
      <c r="H89" s="502"/>
      <c r="I89" s="501"/>
      <c r="J89" s="503"/>
      <c r="K89" s="501"/>
      <c r="L89" s="501"/>
      <c r="M89" s="501"/>
      <c r="N89" s="501"/>
      <c r="O89" s="501"/>
    </row>
    <row r="90" spans="1:15">
      <c r="A90" s="498" t="s">
        <v>67</v>
      </c>
      <c r="B90" s="512"/>
      <c r="C90" s="528"/>
      <c r="D90" s="501"/>
      <c r="E90" s="501"/>
      <c r="F90" s="502"/>
      <c r="G90" s="501"/>
      <c r="H90" s="502"/>
      <c r="I90" s="501"/>
      <c r="J90" s="503"/>
      <c r="K90" s="501"/>
      <c r="L90" s="501"/>
      <c r="M90" s="501"/>
      <c r="N90" s="501"/>
      <c r="O90" s="501"/>
    </row>
    <row r="91" spans="1:15">
      <c r="A91" s="527"/>
      <c r="B91" s="539"/>
      <c r="C91" s="539"/>
      <c r="D91" s="539"/>
      <c r="E91" s="539"/>
      <c r="F91" s="540"/>
      <c r="G91" s="539"/>
      <c r="H91" s="540"/>
      <c r="I91" s="539"/>
      <c r="J91" s="541"/>
      <c r="K91" s="539"/>
      <c r="L91" s="539"/>
      <c r="M91" s="539"/>
      <c r="N91" s="539"/>
      <c r="O91" s="539"/>
    </row>
    <row r="92" spans="1:15">
      <c r="A92" s="527"/>
      <c r="B92" s="539"/>
      <c r="C92" s="539"/>
      <c r="D92" s="539"/>
      <c r="E92" s="539"/>
      <c r="F92" s="540"/>
      <c r="G92" s="539"/>
      <c r="H92" s="540"/>
      <c r="I92" s="539"/>
      <c r="J92" s="541"/>
      <c r="K92" s="539"/>
      <c r="L92" s="539"/>
      <c r="M92" s="539"/>
      <c r="N92" s="539"/>
      <c r="O92" s="539"/>
    </row>
    <row r="93" spans="1:15">
      <c r="A93" s="527"/>
      <c r="B93" s="539"/>
      <c r="C93" s="539"/>
      <c r="D93" s="539"/>
      <c r="E93" s="539"/>
      <c r="F93" s="540"/>
      <c r="G93" s="539"/>
      <c r="H93" s="540"/>
      <c r="I93" s="539"/>
      <c r="J93" s="541"/>
      <c r="K93" s="539"/>
      <c r="L93" s="539"/>
      <c r="M93" s="539"/>
      <c r="N93" s="539"/>
      <c r="O93" s="539"/>
    </row>
    <row r="94" spans="1:15">
      <c r="A94" s="527"/>
      <c r="B94" s="539"/>
      <c r="C94" s="539"/>
      <c r="D94" s="539"/>
      <c r="E94" s="539"/>
      <c r="F94" s="540"/>
      <c r="G94" s="539"/>
      <c r="H94" s="540"/>
      <c r="I94" s="539"/>
      <c r="J94" s="541"/>
      <c r="K94" s="539"/>
      <c r="L94" s="539"/>
      <c r="M94" s="539"/>
      <c r="N94" s="539"/>
      <c r="O94" s="539"/>
    </row>
    <row r="95" spans="1:15">
      <c r="A95" s="513"/>
      <c r="B95" s="542" t="s">
        <v>68</v>
      </c>
      <c r="C95" s="543"/>
      <c r="D95" s="543"/>
      <c r="E95" s="543"/>
      <c r="F95" s="544"/>
      <c r="G95" s="545"/>
      <c r="H95" s="544"/>
      <c r="I95" s="539"/>
      <c r="J95" s="541"/>
      <c r="K95" s="539"/>
      <c r="L95" s="539"/>
      <c r="M95" s="539"/>
      <c r="N95" s="539"/>
      <c r="O95" s="539"/>
    </row>
    <row r="96" spans="1:15">
      <c r="A96" s="513"/>
      <c r="B96" s="543"/>
      <c r="C96" s="543"/>
      <c r="D96" s="543"/>
      <c r="E96" s="543"/>
      <c r="F96" s="544"/>
      <c r="G96" s="545"/>
      <c r="H96" s="544"/>
      <c r="I96" s="539"/>
      <c r="J96" s="541"/>
      <c r="K96" s="539"/>
      <c r="L96" s="539"/>
      <c r="M96" s="539"/>
      <c r="N96" s="539"/>
      <c r="O96" s="539"/>
    </row>
    <row r="97" spans="1:15">
      <c r="A97" s="546" t="s">
        <v>69</v>
      </c>
      <c r="B97" s="505"/>
      <c r="C97" s="547"/>
      <c r="D97" s="543"/>
      <c r="E97" s="543"/>
      <c r="F97" s="544"/>
      <c r="G97" s="545"/>
      <c r="H97" s="544"/>
      <c r="I97" s="539"/>
      <c r="J97" s="541"/>
      <c r="K97" s="539"/>
      <c r="L97" s="539"/>
      <c r="M97" s="539"/>
      <c r="N97" s="539"/>
      <c r="O97" s="539"/>
    </row>
    <row r="98" spans="1:15" ht="38.25">
      <c r="A98" s="513"/>
      <c r="B98" s="548" t="s">
        <v>70</v>
      </c>
      <c r="C98" s="549"/>
      <c r="D98" s="550" t="s">
        <v>71</v>
      </c>
      <c r="E98" s="550" t="s">
        <v>72</v>
      </c>
      <c r="F98" s="551" t="s">
        <v>73</v>
      </c>
      <c r="G98" s="552" t="s">
        <v>74</v>
      </c>
      <c r="H98" s="551" t="s">
        <v>75</v>
      </c>
      <c r="I98" s="539"/>
      <c r="J98" s="541"/>
      <c r="K98" s="539"/>
      <c r="L98" s="539"/>
      <c r="M98" s="539"/>
      <c r="N98" s="539"/>
      <c r="O98" s="539"/>
    </row>
    <row r="99" spans="1:15">
      <c r="A99" s="513"/>
      <c r="B99" s="553"/>
      <c r="C99" s="554"/>
      <c r="D99" s="555"/>
      <c r="E99" s="556"/>
      <c r="F99" s="557"/>
      <c r="G99" s="558"/>
      <c r="H99" s="557"/>
      <c r="I99" s="539"/>
      <c r="J99" s="541"/>
      <c r="K99" s="539"/>
      <c r="L99" s="539"/>
      <c r="M99" s="539"/>
      <c r="N99" s="539"/>
      <c r="O99" s="539"/>
    </row>
    <row r="100" spans="1:15">
      <c r="A100" s="513"/>
      <c r="B100" s="559"/>
      <c r="C100" s="560"/>
      <c r="D100" s="561"/>
      <c r="E100" s="562"/>
      <c r="F100" s="563"/>
      <c r="G100" s="564"/>
      <c r="H100" s="563"/>
      <c r="I100" s="539"/>
      <c r="J100" s="541"/>
      <c r="K100" s="539"/>
      <c r="L100" s="539"/>
      <c r="M100" s="539"/>
      <c r="N100" s="539"/>
      <c r="O100" s="539"/>
    </row>
    <row r="101" spans="1:15">
      <c r="A101" s="513"/>
      <c r="B101" s="543"/>
      <c r="C101" s="543"/>
      <c r="D101" s="512"/>
      <c r="E101" s="512"/>
      <c r="F101" s="532"/>
      <c r="G101" s="565"/>
      <c r="H101" s="532"/>
      <c r="I101" s="539"/>
      <c r="J101" s="541"/>
      <c r="K101" s="539"/>
      <c r="L101" s="539"/>
      <c r="M101" s="539"/>
      <c r="N101" s="539"/>
      <c r="O101" s="539"/>
    </row>
    <row r="102" spans="1:15" ht="13.5" thickBot="1">
      <c r="A102" s="566"/>
      <c r="B102" s="567"/>
      <c r="C102" s="567"/>
      <c r="D102" s="568"/>
      <c r="E102" s="568"/>
      <c r="F102" s="569"/>
      <c r="G102" s="570"/>
      <c r="H102" s="569"/>
      <c r="I102" s="572"/>
      <c r="J102" s="571"/>
      <c r="K102" s="572"/>
      <c r="L102" s="572"/>
      <c r="M102" s="572"/>
      <c r="N102" s="572"/>
      <c r="O102" s="572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03"/>
  <sheetViews>
    <sheetView workbookViewId="0">
      <pane xSplit="2" ySplit="3" topLeftCell="I71" activePane="bottomRight" state="frozen"/>
      <selection pane="topRight" activeCell="C1" sqref="C1"/>
      <selection pane="bottomLeft" activeCell="A4" sqref="A4"/>
      <selection pane="bottomRight" activeCell="L88" sqref="L88"/>
    </sheetView>
  </sheetViews>
  <sheetFormatPr defaultColWidth="8.85546875" defaultRowHeight="12.75"/>
  <cols>
    <col min="1" max="1" width="4.5703125" style="237" customWidth="1"/>
    <col min="2" max="2" width="47.7109375" style="237" customWidth="1"/>
    <col min="3" max="3" width="13.7109375" style="237" customWidth="1"/>
    <col min="4" max="4" width="15.7109375" style="237" customWidth="1"/>
    <col min="5" max="5" width="14.85546875" style="237" customWidth="1"/>
    <col min="6" max="6" width="13.85546875" style="486" customWidth="1"/>
    <col min="7" max="7" width="14.28515625" style="237" customWidth="1"/>
    <col min="8" max="8" width="13.7109375" style="486" bestFit="1" customWidth="1"/>
    <col min="9" max="9" width="13.140625" style="237" bestFit="1" customWidth="1"/>
    <col min="10" max="10" width="14.5703125" style="487" customWidth="1"/>
    <col min="11" max="11" width="14" style="237" customWidth="1"/>
    <col min="12" max="12" width="14.42578125" style="237" customWidth="1"/>
    <col min="13" max="13" width="12.85546875" style="237" customWidth="1"/>
    <col min="14" max="14" width="14" style="237" customWidth="1"/>
    <col min="15" max="15" width="13.85546875" style="237" customWidth="1"/>
    <col min="16" max="16" width="8.85546875" style="237"/>
    <col min="17" max="18" width="13.28515625" style="237" customWidth="1"/>
    <col min="19" max="19" width="12.5703125" style="237" customWidth="1"/>
    <col min="20" max="16384" width="8.85546875" style="237"/>
  </cols>
  <sheetData>
    <row r="1" spans="1:20">
      <c r="A1" s="484" t="s">
        <v>603</v>
      </c>
      <c r="B1" s="485"/>
      <c r="C1" s="485"/>
    </row>
    <row r="2" spans="1:20" ht="13.5" thickBot="1">
      <c r="A2" s="484"/>
      <c r="B2" s="488"/>
      <c r="C2" s="488"/>
    </row>
    <row r="3" spans="1:20" ht="41.45" customHeight="1">
      <c r="A3" s="489"/>
      <c r="B3" s="490"/>
      <c r="C3" s="491" t="s">
        <v>83</v>
      </c>
      <c r="D3" s="492" t="s">
        <v>53</v>
      </c>
      <c r="E3" s="492" t="s">
        <v>54</v>
      </c>
      <c r="F3" s="493" t="s">
        <v>880</v>
      </c>
      <c r="G3" s="492" t="s">
        <v>76</v>
      </c>
      <c r="H3" s="493" t="s">
        <v>872</v>
      </c>
      <c r="I3" s="495" t="s">
        <v>77</v>
      </c>
      <c r="J3" s="494" t="s">
        <v>881</v>
      </c>
      <c r="K3" s="495" t="s">
        <v>883</v>
      </c>
      <c r="L3" s="495" t="s">
        <v>884</v>
      </c>
      <c r="M3" s="495" t="s">
        <v>885</v>
      </c>
      <c r="N3" s="492" t="s">
        <v>886</v>
      </c>
      <c r="O3" s="496" t="s">
        <v>887</v>
      </c>
      <c r="Q3" s="497" t="s">
        <v>355</v>
      </c>
      <c r="R3" s="497" t="s">
        <v>353</v>
      </c>
      <c r="S3" s="497" t="s">
        <v>354</v>
      </c>
      <c r="T3" s="497" t="s">
        <v>148</v>
      </c>
    </row>
    <row r="4" spans="1:20">
      <c r="A4" s="498" t="s">
        <v>49</v>
      </c>
      <c r="B4" s="499"/>
      <c r="C4" s="512"/>
      <c r="D4" s="501"/>
      <c r="E4" s="501"/>
      <c r="F4" s="502"/>
      <c r="G4" s="501"/>
      <c r="H4" s="502"/>
      <c r="I4" s="501"/>
      <c r="J4" s="503"/>
      <c r="K4" s="501"/>
      <c r="L4" s="501"/>
      <c r="M4" s="501"/>
      <c r="N4" s="501"/>
      <c r="O4" s="501"/>
    </row>
    <row r="5" spans="1:20">
      <c r="A5" s="504"/>
      <c r="B5" s="499" t="str">
        <f>'Annex 3a - Water'!B5</f>
        <v>Cost of Sales</v>
      </c>
      <c r="C5" s="500">
        <f>1-'Annex 3a - Water'!C5</f>
        <v>0</v>
      </c>
      <c r="D5" s="506">
        <f>'Annex 3 Total O&amp;M'!C6*$C5</f>
        <v>0</v>
      </c>
      <c r="E5" s="507">
        <f>D5/$D$72</f>
        <v>0</v>
      </c>
      <c r="F5" s="506">
        <f>'Annex 3 Total O&amp;M'!E5*$C5</f>
        <v>0</v>
      </c>
      <c r="G5" s="507">
        <f>F5/$F$72</f>
        <v>0</v>
      </c>
      <c r="H5" s="506">
        <f>'Annex 3 Total O&amp;M'!G5*$C5</f>
        <v>0</v>
      </c>
      <c r="I5" s="507">
        <f>H5/$H$72</f>
        <v>0</v>
      </c>
      <c r="J5" s="538">
        <f>'Annex 3 Total O&amp;M'!I5*$C5</f>
        <v>0</v>
      </c>
      <c r="K5" s="501">
        <f>'Annex 3 Total O&amp;M'!K5*$C5</f>
        <v>0</v>
      </c>
      <c r="L5" s="506">
        <f>'Annex 3 Total O&amp;M'!M5*$C5</f>
        <v>0</v>
      </c>
      <c r="M5" s="506">
        <f>'Annex 3 Total O&amp;M'!O5*$C5</f>
        <v>0</v>
      </c>
      <c r="N5" s="506">
        <f>'Annex 3 Total O&amp;M'!Q5*$C5</f>
        <v>0</v>
      </c>
      <c r="O5" s="506">
        <f>'Annex 3 Total O&amp;M'!S5*$C5</f>
        <v>0</v>
      </c>
    </row>
    <row r="6" spans="1:20">
      <c r="A6" s="511"/>
      <c r="B6" s="512" t="s">
        <v>50</v>
      </c>
      <c r="C6" s="512"/>
      <c r="D6" s="501"/>
      <c r="E6" s="501"/>
      <c r="F6" s="502"/>
      <c r="G6" s="501"/>
      <c r="H6" s="502"/>
      <c r="I6" s="501"/>
      <c r="J6" s="503"/>
      <c r="K6" s="501"/>
      <c r="L6" s="501"/>
      <c r="M6" s="501"/>
      <c r="N6" s="501"/>
      <c r="O6" s="501"/>
    </row>
    <row r="7" spans="1:20">
      <c r="A7" s="513"/>
      <c r="B7" s="514" t="str">
        <f>'Annex 3a - Water'!B7</f>
        <v>Basic Salary</v>
      </c>
      <c r="C7" s="500">
        <f>1-'Annex 3a - Water'!C7</f>
        <v>0.30000000000000004</v>
      </c>
      <c r="D7" s="506">
        <f>'Annex 3 Total O&amp;M'!C8*$C7</f>
        <v>19228791.600000001</v>
      </c>
      <c r="E7" s="507">
        <f t="shared" ref="E7:E29" si="0">D7/$D$72</f>
        <v>0.37434274627971331</v>
      </c>
      <c r="F7" s="508">
        <f>'Annex 3 Total O&amp;M'!E8*$C7</f>
        <v>22910820.000000004</v>
      </c>
      <c r="G7" s="507">
        <f t="shared" ref="G7:G29" si="1">F7/$F$72</f>
        <v>0.36575568997503383</v>
      </c>
      <c r="H7" s="508">
        <f>'Annex 3 Total O&amp;M'!G8*$C7</f>
        <v>23041785.000000004</v>
      </c>
      <c r="I7" s="507">
        <f t="shared" ref="I7:I29" si="2">H7/$H$72</f>
        <v>0.4149145313647899</v>
      </c>
      <c r="J7" s="538">
        <f>'Annex 3 Total O&amp;M'!I8*$C7</f>
        <v>25246200.000000004</v>
      </c>
      <c r="K7" s="510">
        <f>'Annex 3 Total O&amp;M'!K8*$C7</f>
        <v>25498662.000000004</v>
      </c>
      <c r="L7" s="506">
        <f>'Annex 3 Total O&amp;M'!M8*$C7</f>
        <v>25753648.620000005</v>
      </c>
      <c r="M7" s="506">
        <f>'Annex 3 Total O&amp;M'!O8*$C7</f>
        <v>26268721.592400007</v>
      </c>
      <c r="N7" s="506">
        <f>'Annex 3 Total O&amp;M'!Q8*$C7</f>
        <v>26794096.024248008</v>
      </c>
      <c r="O7" s="506">
        <f>'Annex 3 Total O&amp;M'!S8*$C7</f>
        <v>27329977.944732968</v>
      </c>
      <c r="R7" s="515">
        <f>F7/D7-1</f>
        <v>0.19148516852197828</v>
      </c>
      <c r="S7" s="515">
        <f>H7/F7-1</f>
        <v>5.716294746325179E-3</v>
      </c>
    </row>
    <row r="8" spans="1:20">
      <c r="A8" s="513"/>
      <c r="B8" s="514" t="str">
        <f>'Annex 3a - Water'!B8</f>
        <v>Medical Allowance</v>
      </c>
      <c r="C8" s="500">
        <f>1-'Annex 3a - Water'!C8</f>
        <v>0.30000000000000004</v>
      </c>
      <c r="D8" s="506">
        <f>'Annex 3 Total O&amp;M'!C63*$C8</f>
        <v>481410.00000000006</v>
      </c>
      <c r="E8" s="507">
        <f t="shared" si="0"/>
        <v>9.3720055443586373E-3</v>
      </c>
      <c r="F8" s="508">
        <f>'Annex 3 Total O&amp;M'!E63*$C8</f>
        <v>2325512.1000000006</v>
      </c>
      <c r="G8" s="507">
        <f t="shared" si="1"/>
        <v>3.7125222173662487E-2</v>
      </c>
      <c r="H8" s="508">
        <f>'Annex 3 Total O&amp;M'!G63*$C8</f>
        <v>0</v>
      </c>
      <c r="I8" s="507">
        <f t="shared" si="2"/>
        <v>0</v>
      </c>
      <c r="J8" s="538">
        <f>'Annex 3 Total O&amp;M'!I63*$C8</f>
        <v>2811180.0000000005</v>
      </c>
      <c r="K8" s="510">
        <f>'Annex 3 Total O&amp;M'!K63*$C8</f>
        <v>2867403.6000000006</v>
      </c>
      <c r="L8" s="506">
        <f>'Annex 3 Total O&amp;M'!M63*$C8</f>
        <v>2924751.6720000007</v>
      </c>
      <c r="M8" s="506">
        <f>'Annex 3 Total O&amp;M'!O63*$C8</f>
        <v>2983246.7054400006</v>
      </c>
      <c r="N8" s="506">
        <f>'Annex 3 Total O&amp;M'!Q63*$C8</f>
        <v>3042911.6395488004</v>
      </c>
      <c r="O8" s="506">
        <f>'Annex 3 Total O&amp;M'!S63*$C8</f>
        <v>3103769.8723397767</v>
      </c>
      <c r="R8" s="515">
        <f>F8/D8-1</f>
        <v>3.8306269084564102</v>
      </c>
      <c r="S8" s="515">
        <f>H8/F8-1</f>
        <v>-1</v>
      </c>
    </row>
    <row r="9" spans="1:20">
      <c r="A9" s="513"/>
      <c r="B9" s="514" t="str">
        <f>'Annex 3a - Water'!B9</f>
        <v>Leave Allowance</v>
      </c>
      <c r="C9" s="500">
        <f>1-'Annex 3a - Water'!C9</f>
        <v>0.30000000000000004</v>
      </c>
      <c r="D9" s="506">
        <f>'Annex 3 Total O&amp;M'!C9*$C9</f>
        <v>692424.3</v>
      </c>
      <c r="E9" s="507">
        <f t="shared" si="0"/>
        <v>1.3479994970292782E-2</v>
      </c>
      <c r="F9" s="508">
        <f>'Annex 3 Total O&amp;M'!E9*$C9</f>
        <v>529179.9</v>
      </c>
      <c r="G9" s="507">
        <f t="shared" si="1"/>
        <v>8.4479979086483758E-3</v>
      </c>
      <c r="H9" s="508">
        <f>'Annex 3 Total O&amp;M'!G9*$C9</f>
        <v>612570.00000000012</v>
      </c>
      <c r="I9" s="507">
        <f t="shared" si="2"/>
        <v>1.1030577469502877E-2</v>
      </c>
      <c r="J9" s="538">
        <f>'Annex 3 Total O&amp;M'!I9*$C9</f>
        <v>473781.00000000006</v>
      </c>
      <c r="K9" s="510">
        <f>'Annex 3 Total O&amp;M'!K9*$C9</f>
        <v>478518.81000000006</v>
      </c>
      <c r="L9" s="506">
        <f>'Annex 3 Total O&amp;M'!M9*$C9</f>
        <v>488089.18620000005</v>
      </c>
      <c r="M9" s="506">
        <f>'Annex 3 Total O&amp;M'!O9*$C9</f>
        <v>497850.96992400003</v>
      </c>
      <c r="N9" s="506">
        <f>'Annex 3 Total O&amp;M'!Q9*$C9</f>
        <v>507807.98932248005</v>
      </c>
      <c r="O9" s="506">
        <f>'Annex 3 Total O&amp;M'!S9*$C9</f>
        <v>517964.14910892962</v>
      </c>
      <c r="R9" s="515">
        <f>F9/D9-1</f>
        <v>-0.23575775720176195</v>
      </c>
      <c r="S9" s="515">
        <f>H9/F9-1</f>
        <v>0.15758364971912209</v>
      </c>
    </row>
    <row r="10" spans="1:20">
      <c r="A10" s="513"/>
      <c r="B10" s="514" t="str">
        <f>'Annex 3a - Water'!B10</f>
        <v>Transfer Allowance</v>
      </c>
      <c r="C10" s="500">
        <f>1-'Annex 3a - Water'!C10</f>
        <v>0.30000000000000004</v>
      </c>
      <c r="D10" s="506">
        <f>'Annex 3 Total O&amp;M'!C10*$C10</f>
        <v>183600.00000000003</v>
      </c>
      <c r="E10" s="507">
        <f t="shared" si="0"/>
        <v>3.5742926360986392E-3</v>
      </c>
      <c r="F10" s="508">
        <f>'Annex 3 Total O&amp;M'!E10*$C10</f>
        <v>76380.000000000015</v>
      </c>
      <c r="G10" s="507">
        <f t="shared" si="1"/>
        <v>1.2193548550550825E-3</v>
      </c>
      <c r="H10" s="508">
        <f>'Annex 3 Total O&amp;M'!G10*$C10</f>
        <v>253980.00000000003</v>
      </c>
      <c r="I10" s="507">
        <f t="shared" si="2"/>
        <v>4.573430082609891E-3</v>
      </c>
      <c r="J10" s="538">
        <f>'Annex 3 Total O&amp;M'!I10*$C10</f>
        <v>535290.00000000012</v>
      </c>
      <c r="K10" s="510">
        <f>'Annex 3 Total O&amp;M'!K10*$C10</f>
        <v>540642.9</v>
      </c>
      <c r="L10" s="506">
        <f>'Annex 3 Total O&amp;M'!M10*$C10</f>
        <v>551455.75800000015</v>
      </c>
      <c r="M10" s="506">
        <f>'Annex 3 Total O&amp;M'!O10*$C10</f>
        <v>562484.87316000019</v>
      </c>
      <c r="N10" s="506">
        <f>'Annex 3 Total O&amp;M'!Q10*$C10</f>
        <v>573734.57062320015</v>
      </c>
      <c r="O10" s="506">
        <f>'Annex 3 Total O&amp;M'!S10*$C10</f>
        <v>585209.26203566417</v>
      </c>
      <c r="R10" s="515">
        <f>F10/D10-1</f>
        <v>-0.58398692810457509</v>
      </c>
      <c r="S10" s="515">
        <f>H10/F10-1</f>
        <v>2.3252160251374705</v>
      </c>
    </row>
    <row r="11" spans="1:20">
      <c r="A11" s="513"/>
      <c r="B11" s="514" t="str">
        <f>'Annex 3a - Water'!B11</f>
        <v>Commuter Allowance</v>
      </c>
      <c r="C11" s="500">
        <f>1-'Annex 3a - Water'!C11</f>
        <v>0.30000000000000004</v>
      </c>
      <c r="D11" s="506">
        <f>'Annex 3 Total O&amp;M'!C11*$C11</f>
        <v>1920000.0000000002</v>
      </c>
      <c r="E11" s="507">
        <f t="shared" si="0"/>
        <v>3.7378223645475966E-2</v>
      </c>
      <c r="F11" s="508">
        <f>'Annex 3 Total O&amp;M'!E11*$C11</f>
        <v>2286600.0000000005</v>
      </c>
      <c r="G11" s="507">
        <f t="shared" si="1"/>
        <v>3.6504016909779412E-2</v>
      </c>
      <c r="H11" s="508">
        <f>'Annex 3 Total O&amp;M'!G11*$C11</f>
        <v>1989000.0000000002</v>
      </c>
      <c r="I11" s="507">
        <f t="shared" si="2"/>
        <v>3.5816018719234087E-2</v>
      </c>
      <c r="J11" s="538">
        <f>'Annex 3 Total O&amp;M'!I11*$C11</f>
        <v>2289900.0000000005</v>
      </c>
      <c r="K11" s="510">
        <f>'Annex 3 Total O&amp;M'!K11*$C11</f>
        <v>2312799.0000000005</v>
      </c>
      <c r="L11" s="506">
        <f>'Annex 3 Total O&amp;M'!M11*$C11</f>
        <v>2359054.9800000004</v>
      </c>
      <c r="M11" s="506">
        <f>'Annex 3 Total O&amp;M'!O11*$C11</f>
        <v>2406236.0796000008</v>
      </c>
      <c r="N11" s="506">
        <f>'Annex 3 Total O&amp;M'!Q11*$C11</f>
        <v>2454360.8011920005</v>
      </c>
      <c r="O11" s="506">
        <f>'Annex 3 Total O&amp;M'!S11*$C11</f>
        <v>2503448.0172158405</v>
      </c>
      <c r="R11" s="515"/>
      <c r="S11" s="515"/>
    </row>
    <row r="12" spans="1:20">
      <c r="A12" s="513"/>
      <c r="B12" s="514" t="str">
        <f>'Annex 3a - Water'!B12</f>
        <v>House Allowance</v>
      </c>
      <c r="C12" s="500">
        <f>1-'Annex 3a - Water'!C12</f>
        <v>0.30000000000000004</v>
      </c>
      <c r="D12" s="506">
        <f>'Annex 3 Total O&amp;M'!C12*$C12</f>
        <v>5761650.0000000009</v>
      </c>
      <c r="E12" s="507">
        <f t="shared" si="0"/>
        <v>0.11216679284737323</v>
      </c>
      <c r="F12" s="508">
        <f>'Annex 3 Total O&amp;M'!E12*$C12</f>
        <v>6923100.0000000009</v>
      </c>
      <c r="G12" s="507">
        <f t="shared" si="1"/>
        <v>0.11052259226278922</v>
      </c>
      <c r="H12" s="508">
        <f>'Annex 3 Total O&amp;M'!G12*$C12</f>
        <v>6644850.0000000009</v>
      </c>
      <c r="I12" s="507">
        <f t="shared" si="2"/>
        <v>0.11965413372875948</v>
      </c>
      <c r="J12" s="538">
        <f>'Annex 3 Total O&amp;M'!I12*$C12</f>
        <v>7030800.0000000009</v>
      </c>
      <c r="K12" s="510">
        <f>'Annex 3 Total O&amp;M'!K12*$C12</f>
        <v>7101108.0000000009</v>
      </c>
      <c r="L12" s="506">
        <f>'Annex 3 Total O&amp;M'!M12*$C12</f>
        <v>7243130.1600000011</v>
      </c>
      <c r="M12" s="506">
        <f>'Annex 3 Total O&amp;M'!O12*$C12</f>
        <v>7387992.7632000009</v>
      </c>
      <c r="N12" s="506">
        <f>'Annex 3 Total O&amp;M'!Q12*$C12</f>
        <v>7535752.6184640015</v>
      </c>
      <c r="O12" s="506">
        <f>'Annex 3 Total O&amp;M'!S12*$C12</f>
        <v>7686467.6708332812</v>
      </c>
      <c r="R12" s="515"/>
      <c r="S12" s="515"/>
    </row>
    <row r="13" spans="1:20">
      <c r="A13" s="513"/>
      <c r="B13" s="514" t="str">
        <f>'Annex 3a - Water'!B13</f>
        <v>Airtime Allowance</v>
      </c>
      <c r="C13" s="500">
        <f>1-'Annex 3a - Water'!C13</f>
        <v>0.30000000000000004</v>
      </c>
      <c r="D13" s="506">
        <f>'Annex 3 Total O&amp;M'!C14*$C13</f>
        <v>439200.00000000006</v>
      </c>
      <c r="E13" s="507">
        <f t="shared" si="0"/>
        <v>8.5502686589026267E-3</v>
      </c>
      <c r="F13" s="508">
        <f>'Annex 3 Total O&amp;M'!E14*$C13</f>
        <v>536100.00000000012</v>
      </c>
      <c r="G13" s="507">
        <f t="shared" si="1"/>
        <v>8.5584726079474954E-3</v>
      </c>
      <c r="H13" s="508">
        <f>'Annex 3 Total O&amp;M'!G14*$C13</f>
        <v>537000.00000000012</v>
      </c>
      <c r="I13" s="507">
        <f t="shared" si="2"/>
        <v>9.6697848427494751E-3</v>
      </c>
      <c r="J13" s="538">
        <f>'Annex 3 Total O&amp;M'!I14*$C13</f>
        <v>577200.00000000012</v>
      </c>
      <c r="K13" s="510">
        <f>'Annex 3 Total O&amp;M'!K14*$C13</f>
        <v>582972.00000000012</v>
      </c>
      <c r="L13" s="506">
        <f>'Annex 3 Total O&amp;M'!M14*$C13</f>
        <v>594631.44000000006</v>
      </c>
      <c r="M13" s="506">
        <f>'Annex 3 Total O&amp;M'!O14*$C13</f>
        <v>606524.06880000012</v>
      </c>
      <c r="N13" s="506">
        <f>'Annex 3 Total O&amp;M'!Q14*$C13</f>
        <v>618654.55017600011</v>
      </c>
      <c r="O13" s="506">
        <f>'Annex 3 Total O&amp;M'!S14*$C13</f>
        <v>631027.64117952017</v>
      </c>
      <c r="R13" s="515"/>
      <c r="S13" s="515"/>
    </row>
    <row r="14" spans="1:20">
      <c r="A14" s="513"/>
      <c r="B14" s="514" t="str">
        <f>'Annex 3a - Water'!B14</f>
        <v>Provident Fund</v>
      </c>
      <c r="C14" s="500">
        <f>1-'Annex 3a - Water'!C14</f>
        <v>0.30000000000000004</v>
      </c>
      <c r="D14" s="506">
        <f>'Annex 3 Total O&amp;M'!C15*$C14</f>
        <v>3694810.8000000007</v>
      </c>
      <c r="E14" s="507">
        <f t="shared" si="0"/>
        <v>7.1929929380270818E-2</v>
      </c>
      <c r="F14" s="508">
        <f>'Annex 3 Total O&amp;M'!E15*$C14</f>
        <v>3836466.9000000004</v>
      </c>
      <c r="G14" s="507">
        <f t="shared" si="1"/>
        <v>6.1246589955133816E-2</v>
      </c>
      <c r="H14" s="508">
        <f>'Annex 3 Total O&amp;M'!G15*$C14</f>
        <v>4077471.0000000005</v>
      </c>
      <c r="I14" s="507">
        <f t="shared" si="2"/>
        <v>7.3423216522440479E-2</v>
      </c>
      <c r="J14" s="538">
        <f>'Annex 3 Total O&amp;M'!I15*$C14</f>
        <v>0</v>
      </c>
      <c r="K14" s="510">
        <f>'Annex 3 Total O&amp;M'!K15*$C14</f>
        <v>0</v>
      </c>
      <c r="L14" s="506">
        <f>'Annex 3 Total O&amp;M'!M15*$C14</f>
        <v>0</v>
      </c>
      <c r="M14" s="506">
        <f>'Annex 3 Total O&amp;M'!O15*$C14</f>
        <v>0</v>
      </c>
      <c r="N14" s="506">
        <f>'Annex 3 Total O&amp;M'!Q15*$C14</f>
        <v>0</v>
      </c>
      <c r="O14" s="506">
        <f>'Annex 3 Total O&amp;M'!S15*$C14</f>
        <v>0</v>
      </c>
      <c r="R14" s="515"/>
      <c r="S14" s="515"/>
    </row>
    <row r="15" spans="1:20">
      <c r="A15" s="513"/>
      <c r="B15" s="514" t="str">
        <f>'Annex 3a - Water'!B15</f>
        <v>NSSF Employer</v>
      </c>
      <c r="C15" s="500">
        <f>1-'Annex 3a - Water'!C15</f>
        <v>0.30000000000000004</v>
      </c>
      <c r="D15" s="506">
        <f>'Annex 3 Total O&amp;M'!C16*$C15</f>
        <v>613980.00000000012</v>
      </c>
      <c r="E15" s="507">
        <f t="shared" si="0"/>
        <v>1.1952855080129861E-2</v>
      </c>
      <c r="F15" s="508">
        <f>'Annex 3 Total O&amp;M'!E16*$C15</f>
        <v>711828.00000000012</v>
      </c>
      <c r="G15" s="507">
        <f t="shared" si="1"/>
        <v>1.1363850847920257E-2</v>
      </c>
      <c r="H15" s="508">
        <f>'Annex 3 Total O&amp;M'!G16*$C15</f>
        <v>680400.00000000012</v>
      </c>
      <c r="I15" s="507">
        <f t="shared" si="2"/>
        <v>1.2251995543774194E-2</v>
      </c>
      <c r="J15" s="538">
        <f>'Annex 3 Total O&amp;M'!I16*$C15</f>
        <v>711492.00000000012</v>
      </c>
      <c r="K15" s="510">
        <f>'Annex 3 Total O&amp;M'!K16*$C15</f>
        <v>718606.92</v>
      </c>
      <c r="L15" s="506">
        <f>'Annex 3 Total O&amp;M'!M16*$C15</f>
        <v>732979.0584000001</v>
      </c>
      <c r="M15" s="506">
        <f>'Annex 3 Total O&amp;M'!O16*$C15</f>
        <v>747638.6395680001</v>
      </c>
      <c r="N15" s="506">
        <f>'Annex 3 Total O&amp;M'!Q16*$C15</f>
        <v>762591.41235936014</v>
      </c>
      <c r="O15" s="506">
        <f>'Annex 3 Total O&amp;M'!S16*$C15</f>
        <v>777843.24060654745</v>
      </c>
      <c r="R15" s="515">
        <f>F15/D15-1</f>
        <v>0.15936675461741423</v>
      </c>
      <c r="S15" s="515">
        <f>H15/F15-1</f>
        <v>-4.4151115157032295E-2</v>
      </c>
    </row>
    <row r="16" spans="1:20">
      <c r="A16" s="513"/>
      <c r="B16" s="514" t="str">
        <f>'Annex 3a - Water'!B16</f>
        <v>Acting Allowance</v>
      </c>
      <c r="C16" s="500">
        <f>1-'Annex 3a - Water'!C16</f>
        <v>0.30000000000000004</v>
      </c>
      <c r="D16" s="506">
        <f>'Annex 3 Total O&amp;M'!C17*$C16</f>
        <v>165525.00000000003</v>
      </c>
      <c r="E16" s="507">
        <f t="shared" si="0"/>
        <v>3.2224117025611504E-3</v>
      </c>
      <c r="F16" s="508">
        <f>'Annex 3 Total O&amp;M'!E17*$C16</f>
        <v>228187.50000000003</v>
      </c>
      <c r="G16" s="507">
        <f t="shared" si="1"/>
        <v>3.6428585491998116E-3</v>
      </c>
      <c r="H16" s="508">
        <f>'Annex 3 Total O&amp;M'!G17*$C16</f>
        <v>219525.00000000003</v>
      </c>
      <c r="I16" s="507">
        <f t="shared" si="2"/>
        <v>3.9529972394871105E-3</v>
      </c>
      <c r="J16" s="538">
        <f>'Annex 3 Total O&amp;M'!I17*$C16</f>
        <v>106344.00000000001</v>
      </c>
      <c r="K16" s="510">
        <f>'Annex 3 Total O&amp;M'!K17*$C16</f>
        <v>107407.44000000002</v>
      </c>
      <c r="L16" s="506">
        <f>'Annex 3 Total O&amp;M'!M17*$C16</f>
        <v>109555.58880000001</v>
      </c>
      <c r="M16" s="506">
        <f>'Annex 3 Total O&amp;M'!O17*$C16</f>
        <v>111746.700576</v>
      </c>
      <c r="N16" s="506">
        <f>'Annex 3 Total O&amp;M'!Q17*$C16</f>
        <v>113981.63458752001</v>
      </c>
      <c r="O16" s="506">
        <f>'Annex 3 Total O&amp;M'!S17*$C16</f>
        <v>116261.26727927041</v>
      </c>
      <c r="R16" s="515">
        <f>F16/D16-1</f>
        <v>0.37856819211599446</v>
      </c>
      <c r="S16" s="515">
        <f>H16/F16-1</f>
        <v>-3.7962202136401002E-2</v>
      </c>
    </row>
    <row r="17" spans="1:19">
      <c r="A17" s="513"/>
      <c r="B17" s="514" t="str">
        <f>'Annex 3a - Water'!B17</f>
        <v>Special Duty Allowance</v>
      </c>
      <c r="C17" s="500">
        <f>1-'Annex 3a - Water'!C17</f>
        <v>0.30000000000000004</v>
      </c>
      <c r="D17" s="506">
        <f>'Annex 3 Total O&amp;M'!C18*$C17</f>
        <v>234576.00000000003</v>
      </c>
      <c r="E17" s="507">
        <f t="shared" si="0"/>
        <v>4.5666844738860256E-3</v>
      </c>
      <c r="F17" s="508">
        <f>'Annex 3 Total O&amp;M'!E18*$C17</f>
        <v>130941.00000000001</v>
      </c>
      <c r="G17" s="507">
        <f t="shared" si="1"/>
        <v>2.090384185333432E-3</v>
      </c>
      <c r="H17" s="508">
        <f>'Annex 3 Total O&amp;M'!G18*$C17</f>
        <v>124587.00000000001</v>
      </c>
      <c r="I17" s="507">
        <f t="shared" si="2"/>
        <v>2.2434441046622509E-3</v>
      </c>
      <c r="J17" s="538">
        <f>'Annex 3 Total O&amp;M'!I18*$C17</f>
        <v>151920.00000000003</v>
      </c>
      <c r="K17" s="510">
        <f>'Annex 3 Total O&amp;M'!K18*$C17</f>
        <v>153439.20000000001</v>
      </c>
      <c r="L17" s="506">
        <f>'Annex 3 Total O&amp;M'!M18*$C17</f>
        <v>156507.98400000003</v>
      </c>
      <c r="M17" s="506">
        <f>'Annex 3 Total O&amp;M'!O18*$C17</f>
        <v>159638.14368000004</v>
      </c>
      <c r="N17" s="506">
        <f>'Annex 3 Total O&amp;M'!Q18*$C17</f>
        <v>162830.90655360004</v>
      </c>
      <c r="O17" s="506">
        <f>'Annex 3 Total O&amp;M'!S18*$C17</f>
        <v>166087.52468467204</v>
      </c>
      <c r="R17" s="515">
        <f>F17/D17-1</f>
        <v>-0.44179711479435235</v>
      </c>
      <c r="S17" s="515">
        <f>H17/F17-1</f>
        <v>-4.8525671867482245E-2</v>
      </c>
    </row>
    <row r="18" spans="1:19">
      <c r="A18" s="513"/>
      <c r="B18" s="514" t="str">
        <f>'Annex 3a - Water'!B18</f>
        <v>Casual Wages</v>
      </c>
      <c r="C18" s="500">
        <f>1-'Annex 3a - Water'!C18</f>
        <v>0.30000000000000004</v>
      </c>
      <c r="D18" s="506">
        <f>'Annex 3 Total O&amp;M'!C19*$C18</f>
        <v>837398.40000000014</v>
      </c>
      <c r="E18" s="507">
        <f t="shared" si="0"/>
        <v>1.6302325351856113E-2</v>
      </c>
      <c r="F18" s="508">
        <f>'Annex 3 Total O&amp;M'!E19*$C18</f>
        <v>193412.70000000004</v>
      </c>
      <c r="G18" s="507">
        <f t="shared" si="1"/>
        <v>3.0877024715149537E-3</v>
      </c>
      <c r="H18" s="508">
        <f>'Annex 3 Total O&amp;M'!G19*$C18</f>
        <v>254954.40000000002</v>
      </c>
      <c r="I18" s="507">
        <f t="shared" si="2"/>
        <v>4.5909761503022091E-3</v>
      </c>
      <c r="J18" s="538">
        <f>'Annex 3 Total O&amp;M'!I19*$C18</f>
        <v>561404.10000000009</v>
      </c>
      <c r="K18" s="510">
        <f>'Annex 3 Total O&amp;M'!K19*$C18</f>
        <v>567018.14100000006</v>
      </c>
      <c r="L18" s="506">
        <f>'Annex 3 Total O&amp;M'!M19*$C18</f>
        <v>578358.5038200001</v>
      </c>
      <c r="M18" s="506">
        <f>'Annex 3 Total O&amp;M'!O19*$C18</f>
        <v>589925.67389640014</v>
      </c>
      <c r="N18" s="506">
        <f>'Annex 3 Total O&amp;M'!Q19*$C18</f>
        <v>601724.18737432815</v>
      </c>
      <c r="O18" s="506">
        <f>'Annex 3 Total O&amp;M'!S19*$C18</f>
        <v>613758.67112181464</v>
      </c>
      <c r="R18" s="515">
        <f>F18/D18-1</f>
        <v>-0.76903144309805227</v>
      </c>
      <c r="S18" s="515">
        <f>H18/F18-1</f>
        <v>0.31818851605918308</v>
      </c>
    </row>
    <row r="19" spans="1:19">
      <c r="A19" s="513"/>
      <c r="B19" s="514" t="str">
        <f>'Annex 3a - Water'!B19</f>
        <v>Performance Reward</v>
      </c>
      <c r="C19" s="500">
        <f>1-'Annex 3a - Water'!C19</f>
        <v>0.30000000000000004</v>
      </c>
      <c r="D19" s="506">
        <f>'Annex 3 Total O&amp;M'!C20*$C19</f>
        <v>536865.60000000009</v>
      </c>
      <c r="E19" s="507">
        <f t="shared" si="0"/>
        <v>1.0451605450188875E-2</v>
      </c>
      <c r="F19" s="508">
        <f>'Annex 3 Total O&amp;M'!E20*$C19</f>
        <v>666648.00000000012</v>
      </c>
      <c r="G19" s="507">
        <f t="shared" si="1"/>
        <v>1.0642582815040071E-2</v>
      </c>
      <c r="H19" s="508">
        <f>'Annex 3 Total O&amp;M'!G20*$C19</f>
        <v>523500.00000000006</v>
      </c>
      <c r="I19" s="507">
        <f t="shared" si="2"/>
        <v>9.4266896930714147E-3</v>
      </c>
      <c r="J19" s="538">
        <f>'Annex 3 Total O&amp;M'!I20*$C19</f>
        <v>1058670.0000000002</v>
      </c>
      <c r="K19" s="510">
        <f>'Annex 3 Total O&amp;M'!K20*$C19</f>
        <v>0</v>
      </c>
      <c r="L19" s="506">
        <f>'Annex 3 Total O&amp;M'!M20*$C19</f>
        <v>0</v>
      </c>
      <c r="M19" s="506">
        <f>'Annex 3 Total O&amp;M'!O20*$C19</f>
        <v>0</v>
      </c>
      <c r="N19" s="506">
        <f>'Annex 3 Total O&amp;M'!Q20*$C19</f>
        <v>0</v>
      </c>
      <c r="O19" s="506">
        <f>'Annex 3 Total O&amp;M'!S20*$C19</f>
        <v>0</v>
      </c>
      <c r="R19" s="515">
        <f>F19/D19-1</f>
        <v>0.24174094969020188</v>
      </c>
      <c r="S19" s="515">
        <f>H19/F19-1</f>
        <v>-0.2147280123843468</v>
      </c>
    </row>
    <row r="20" spans="1:19">
      <c r="A20" s="513"/>
      <c r="B20" s="514" t="str">
        <f>'Annex 3a - Water'!B20</f>
        <v>WIBA</v>
      </c>
      <c r="C20" s="500">
        <f>1-'Annex 3a - Water'!C20</f>
        <v>0.30000000000000004</v>
      </c>
      <c r="D20" s="506">
        <f>'Annex 3 Total O&amp;M'!C64*$C20</f>
        <v>207896.40000000002</v>
      </c>
      <c r="E20" s="507">
        <f t="shared" si="0"/>
        <v>4.0472906949423591E-3</v>
      </c>
      <c r="F20" s="508">
        <f>'Annex 3 Total O&amp;M'!E64*$C20</f>
        <v>141690.00000000003</v>
      </c>
      <c r="G20" s="507">
        <f t="shared" si="1"/>
        <v>2.2619846741654182E-3</v>
      </c>
      <c r="H20" s="508">
        <f>'Annex 3 Total O&amp;M'!G64*$C20</f>
        <v>108916.50000000001</v>
      </c>
      <c r="I20" s="507">
        <f t="shared" si="2"/>
        <v>1.9612646570303966E-3</v>
      </c>
      <c r="J20" s="538">
        <f>'Annex 3 Total O&amp;M'!I64*$C20</f>
        <v>97992.000000000015</v>
      </c>
      <c r="K20" s="510">
        <f>'Annex 3 Total O&amp;M'!K64*$C20</f>
        <v>99951.840000000011</v>
      </c>
      <c r="L20" s="506">
        <f>'Annex 3 Total O&amp;M'!M64*$C20</f>
        <v>101950.87680000001</v>
      </c>
      <c r="M20" s="506">
        <f>'Annex 3 Total O&amp;M'!O64*$C20</f>
        <v>103989.89433600001</v>
      </c>
      <c r="N20" s="506">
        <f>'Annex 3 Total O&amp;M'!Q64*$C20</f>
        <v>106069.69222272003</v>
      </c>
      <c r="O20" s="506">
        <f>'Annex 3 Total O&amp;M'!S64*$C20</f>
        <v>108191.08606717443</v>
      </c>
      <c r="R20" s="515"/>
      <c r="S20" s="515"/>
    </row>
    <row r="21" spans="1:19">
      <c r="A21" s="513"/>
      <c r="B21" s="514" t="str">
        <f>'Annex 3a - Water'!B21</f>
        <v>Risk Allowance</v>
      </c>
      <c r="C21" s="500">
        <f>1-'Annex 3a - Water'!C21</f>
        <v>0.30000000000000004</v>
      </c>
      <c r="D21" s="506">
        <f>'Annex 3 Total O&amp;M'!C21*$C21</f>
        <v>0</v>
      </c>
      <c r="E21" s="507">
        <f t="shared" si="0"/>
        <v>0</v>
      </c>
      <c r="F21" s="508">
        <f>'Annex 3 Total O&amp;M'!E21*$C21</f>
        <v>0</v>
      </c>
      <c r="G21" s="507">
        <f t="shared" si="1"/>
        <v>0</v>
      </c>
      <c r="H21" s="508">
        <f>'Annex 3 Total O&amp;M'!G21*$C21</f>
        <v>0</v>
      </c>
      <c r="I21" s="507">
        <f t="shared" si="2"/>
        <v>0</v>
      </c>
      <c r="J21" s="538">
        <f>'Annex 3 Total O&amp;M'!I21*$C21</f>
        <v>32400.000000000004</v>
      </c>
      <c r="K21" s="510">
        <f>'Annex 3 Total O&amp;M'!K21*$C21</f>
        <v>32724.000000000004</v>
      </c>
      <c r="L21" s="506">
        <f>'Annex 3 Total O&amp;M'!M21*$C21</f>
        <v>33378.480000000003</v>
      </c>
      <c r="M21" s="506">
        <f>'Annex 3 Total O&amp;M'!O21*$C21</f>
        <v>34046.049600000006</v>
      </c>
      <c r="N21" s="506">
        <f>'Annex 3 Total O&amp;M'!Q21*$C21</f>
        <v>34726.970592000012</v>
      </c>
      <c r="O21" s="506">
        <f>'Annex 3 Total O&amp;M'!S21*$C21</f>
        <v>35421.510003840012</v>
      </c>
      <c r="R21" s="515"/>
      <c r="S21" s="515"/>
    </row>
    <row r="22" spans="1:19">
      <c r="A22" s="513"/>
      <c r="B22" s="514" t="str">
        <f>'Annex 3a - Water'!B22</f>
        <v>Entertainment Allowance</v>
      </c>
      <c r="C22" s="500">
        <f>1-'Annex 3a - Water'!C22</f>
        <v>0.30000000000000004</v>
      </c>
      <c r="D22" s="506">
        <f>'Annex 3 Total O&amp;M'!C22*$C22</f>
        <v>0</v>
      </c>
      <c r="E22" s="507">
        <f t="shared" si="0"/>
        <v>0</v>
      </c>
      <c r="F22" s="508">
        <f>'Annex 3 Total O&amp;M'!E22*$C22</f>
        <v>0</v>
      </c>
      <c r="G22" s="507">
        <f t="shared" si="1"/>
        <v>0</v>
      </c>
      <c r="H22" s="508">
        <f>'Annex 3 Total O&amp;M'!G22*$C22</f>
        <v>0</v>
      </c>
      <c r="I22" s="507">
        <f t="shared" si="2"/>
        <v>0</v>
      </c>
      <c r="J22" s="538">
        <f>'Annex 3 Total O&amp;M'!I22*$C22</f>
        <v>78000.000000000015</v>
      </c>
      <c r="K22" s="510">
        <f>'Annex 3 Total O&amp;M'!K22*$C22</f>
        <v>78780.000000000015</v>
      </c>
      <c r="L22" s="506">
        <f>'Annex 3 Total O&amp;M'!M22*$C22</f>
        <v>80355.600000000006</v>
      </c>
      <c r="M22" s="506">
        <f>'Annex 3 Total O&amp;M'!O22*$C22</f>
        <v>81962.712</v>
      </c>
      <c r="N22" s="506">
        <f>'Annex 3 Total O&amp;M'!Q22*$C22</f>
        <v>83601.966240000009</v>
      </c>
      <c r="O22" s="506">
        <f>'Annex 3 Total O&amp;M'!S22*$C22</f>
        <v>85274.005564800013</v>
      </c>
      <c r="R22" s="515"/>
      <c r="S22" s="515"/>
    </row>
    <row r="23" spans="1:19">
      <c r="A23" s="513"/>
      <c r="B23" s="514" t="str">
        <f>'Annex 3a - Water'!B23</f>
        <v>Arrears</v>
      </c>
      <c r="C23" s="500">
        <f>1-'Annex 3a - Water'!C23</f>
        <v>0.30000000000000004</v>
      </c>
      <c r="D23" s="506">
        <f>'Annex 3 Total O&amp;M'!C23*$C23</f>
        <v>0</v>
      </c>
      <c r="E23" s="507">
        <f t="shared" si="0"/>
        <v>0</v>
      </c>
      <c r="F23" s="508">
        <f>'Annex 3 Total O&amp;M'!E23*$C23</f>
        <v>0</v>
      </c>
      <c r="G23" s="507">
        <f t="shared" si="1"/>
        <v>0</v>
      </c>
      <c r="H23" s="508">
        <f>'Annex 3 Total O&amp;M'!G23*$C23</f>
        <v>0</v>
      </c>
      <c r="I23" s="507">
        <f t="shared" si="2"/>
        <v>0</v>
      </c>
      <c r="J23" s="538">
        <f>'Annex 3 Total O&amp;M'!I23*$C23</f>
        <v>0</v>
      </c>
      <c r="K23" s="510">
        <f>'Annex 3 Total O&amp;M'!K23*$C23</f>
        <v>0</v>
      </c>
      <c r="L23" s="506">
        <f>'Annex 3 Total O&amp;M'!M23*$C23</f>
        <v>0</v>
      </c>
      <c r="M23" s="506">
        <f>'Annex 3 Total O&amp;M'!O23*$C23</f>
        <v>0</v>
      </c>
      <c r="N23" s="506">
        <f>'Annex 3 Total O&amp;M'!Q23*$C23</f>
        <v>0</v>
      </c>
      <c r="O23" s="506">
        <f>'Annex 3 Total O&amp;M'!S23*$C23</f>
        <v>0</v>
      </c>
      <c r="R23" s="515"/>
      <c r="S23" s="515"/>
    </row>
    <row r="24" spans="1:19">
      <c r="A24" s="513"/>
      <c r="B24" s="514" t="str">
        <f>'Annex 3a - Water'!B24</f>
        <v>Pension (Employer Contribution)</v>
      </c>
      <c r="C24" s="500">
        <f>1-'Annex 3a - Water'!C24</f>
        <v>0.30000000000000004</v>
      </c>
      <c r="D24" s="506">
        <f>'Annex 3 Total O&amp;M'!C24*$C24</f>
        <v>0</v>
      </c>
      <c r="E24" s="507">
        <f t="shared" si="0"/>
        <v>0</v>
      </c>
      <c r="F24" s="508">
        <f>'Annex 3 Total O&amp;M'!E24*$C24</f>
        <v>0</v>
      </c>
      <c r="G24" s="507">
        <f t="shared" si="1"/>
        <v>0</v>
      </c>
      <c r="H24" s="508">
        <f>'Annex 3 Total O&amp;M'!G24*$C24</f>
        <v>0</v>
      </c>
      <c r="I24" s="507">
        <f t="shared" si="2"/>
        <v>0</v>
      </c>
      <c r="J24" s="538">
        <f>'Annex 3 Total O&amp;M'!I24*$C24</f>
        <v>4261333.5000000009</v>
      </c>
      <c r="K24" s="510">
        <f>'Annex 3 Total O&amp;M'!K24*$C24</f>
        <v>4303946.835</v>
      </c>
      <c r="L24" s="506">
        <f>'Annex 3 Total O&amp;M'!M24*$C24</f>
        <v>4390025.7717000004</v>
      </c>
      <c r="M24" s="506">
        <f>'Annex 3 Total O&amp;M'!O24*$C24</f>
        <v>4477826.287134001</v>
      </c>
      <c r="N24" s="506">
        <f>'Annex 3 Total O&amp;M'!Q24*$C24</f>
        <v>4567382.8128766809</v>
      </c>
      <c r="O24" s="506">
        <f>'Annex 3 Total O&amp;M'!S24*$C24</f>
        <v>4658730.4691342153</v>
      </c>
      <c r="R24" s="515"/>
      <c r="S24" s="515"/>
    </row>
    <row r="25" spans="1:19">
      <c r="A25" s="513"/>
      <c r="B25" s="514" t="str">
        <f>'Annex 3a - Water'!B25</f>
        <v>Gratuity</v>
      </c>
      <c r="C25" s="500">
        <f>1-'Annex 3a - Water'!C25</f>
        <v>0.30000000000000004</v>
      </c>
      <c r="D25" s="506">
        <f>'Annex 3 Total O&amp;M'!C25*$C25</f>
        <v>385671.00000000006</v>
      </c>
      <c r="E25" s="507">
        <f t="shared" si="0"/>
        <v>7.5081754643616461E-3</v>
      </c>
      <c r="F25" s="508">
        <f>'Annex 3 Total O&amp;M'!E25*$C25</f>
        <v>619380.00000000012</v>
      </c>
      <c r="G25" s="507">
        <f t="shared" si="1"/>
        <v>9.887981279445103E-3</v>
      </c>
      <c r="H25" s="508">
        <f>'Annex 3 Total O&amp;M'!G25*$C25</f>
        <v>454770.00000000006</v>
      </c>
      <c r="I25" s="507">
        <f t="shared" si="2"/>
        <v>8.1890652754882283E-3</v>
      </c>
      <c r="J25" s="538">
        <f>'Annex 3 Total O&amp;M'!I25*$C25</f>
        <v>1171800.0000000002</v>
      </c>
      <c r="K25" s="510">
        <f>'Annex 3 Total O&amp;M'!K25*$C25</f>
        <v>1183518.0000000002</v>
      </c>
      <c r="L25" s="506">
        <f>'Annex 3 Total O&amp;M'!M25*$C25</f>
        <v>1207188.3600000003</v>
      </c>
      <c r="M25" s="506">
        <f>'Annex 3 Total O&amp;M'!O25*$C25</f>
        <v>1231332.1272000002</v>
      </c>
      <c r="N25" s="506">
        <f>'Annex 3 Total O&amp;M'!Q25*$C25</f>
        <v>1255958.7697440002</v>
      </c>
      <c r="O25" s="506">
        <f>'Annex 3 Total O&amp;M'!S25*$C25</f>
        <v>1281077.9451388801</v>
      </c>
      <c r="R25" s="515"/>
      <c r="S25" s="515"/>
    </row>
    <row r="26" spans="1:19">
      <c r="A26" s="513"/>
      <c r="B26" s="514" t="str">
        <f>'Annex 3a - Water'!B26</f>
        <v>Non-practising allowance</v>
      </c>
      <c r="C26" s="500">
        <f>1-'Annex 3a - Water'!C26</f>
        <v>0.30000000000000004</v>
      </c>
      <c r="D26" s="506">
        <f>'Annex 3 Total O&amp;M'!C26*$C26</f>
        <v>0</v>
      </c>
      <c r="E26" s="507">
        <f t="shared" si="0"/>
        <v>0</v>
      </c>
      <c r="F26" s="508">
        <f>'Annex 3 Total O&amp;M'!E26*$C26</f>
        <v>0</v>
      </c>
      <c r="G26" s="507">
        <f t="shared" si="1"/>
        <v>0</v>
      </c>
      <c r="H26" s="508">
        <f>'Annex 3 Total O&amp;M'!G26*$C26</f>
        <v>54000.000000000007</v>
      </c>
      <c r="I26" s="507">
        <f t="shared" si="2"/>
        <v>9.7238059871223757E-4</v>
      </c>
      <c r="J26" s="538">
        <f>'Annex 3 Total O&amp;M'!I26*$C26</f>
        <v>0</v>
      </c>
      <c r="K26" s="510">
        <f>'Annex 3 Total O&amp;M'!K26*$C26</f>
        <v>0</v>
      </c>
      <c r="L26" s="506">
        <f>'Annex 3 Total O&amp;M'!M26*$C26</f>
        <v>0</v>
      </c>
      <c r="M26" s="506">
        <f>'Annex 3 Total O&amp;M'!O26*$C26</f>
        <v>0</v>
      </c>
      <c r="N26" s="506">
        <f>'Annex 3 Total O&amp;M'!Q26*$C26</f>
        <v>0</v>
      </c>
      <c r="O26" s="506">
        <f>'Annex 3 Total O&amp;M'!S26*$C26</f>
        <v>0</v>
      </c>
      <c r="R26" s="515"/>
      <c r="S26" s="515"/>
    </row>
    <row r="27" spans="1:19">
      <c r="A27" s="513"/>
      <c r="B27" s="514" t="str">
        <f>'Annex 3a - Water'!B27</f>
        <v>Staff Training Expense</v>
      </c>
      <c r="C27" s="500">
        <f>1-'Annex 3a - Water'!C27</f>
        <v>0.30000000000000004</v>
      </c>
      <c r="D27" s="506">
        <f>'Annex 3 Total O&amp;M'!C44*$C27</f>
        <v>161362.80000000002</v>
      </c>
      <c r="E27" s="507">
        <f t="shared" si="0"/>
        <v>3.1413827221146921E-3</v>
      </c>
      <c r="F27" s="508">
        <f>'Annex 3 Total O&amp;M'!E44*$C27</f>
        <v>301897.50000000006</v>
      </c>
      <c r="G27" s="507">
        <f t="shared" si="1"/>
        <v>4.8195886665880041E-3</v>
      </c>
      <c r="H27" s="508">
        <f>'Annex 3 Total O&amp;M'!G44*$C27</f>
        <v>292068.00000000006</v>
      </c>
      <c r="I27" s="507">
        <f t="shared" si="2"/>
        <v>5.2592825315682561E-3</v>
      </c>
      <c r="J27" s="538">
        <f>'Annex 3 Total O&amp;M'!I44*$C27</f>
        <v>346554.00000000006</v>
      </c>
      <c r="K27" s="510">
        <f>'Annex 3 Total O&amp;M'!K44*$C27</f>
        <v>353485.08000000007</v>
      </c>
      <c r="L27" s="506">
        <f>'Annex 3 Total O&amp;M'!M44*$C27</f>
        <v>360554.7816000001</v>
      </c>
      <c r="M27" s="506">
        <f>'Annex 3 Total O&amp;M'!O44*$C27</f>
        <v>367765.87723200006</v>
      </c>
      <c r="N27" s="506">
        <f>'Annex 3 Total O&amp;M'!Q44*$C27</f>
        <v>375121.1947766401</v>
      </c>
      <c r="O27" s="506">
        <f>'Annex 3 Total O&amp;M'!S44*$C27</f>
        <v>386374.83061993931</v>
      </c>
      <c r="R27" s="515"/>
      <c r="S27" s="515"/>
    </row>
    <row r="28" spans="1:19">
      <c r="A28" s="513"/>
      <c r="B28" s="514" t="str">
        <f>'Annex 3a - Water'!B28</f>
        <v>Funeral Expense</v>
      </c>
      <c r="C28" s="500">
        <f>1-'Annex 3a - Water'!C28</f>
        <v>0.30000000000000004</v>
      </c>
      <c r="D28" s="506">
        <f>'Annex 3 Total O&amp;M'!C45*$C28</f>
        <v>34800.000000000007</v>
      </c>
      <c r="E28" s="507">
        <f t="shared" si="0"/>
        <v>6.7748030357425194E-4</v>
      </c>
      <c r="F28" s="508">
        <f>'Annex 3 Total O&amp;M'!E45*$C28</f>
        <v>39000.000000000007</v>
      </c>
      <c r="G28" s="507">
        <f t="shared" si="1"/>
        <v>6.2260852771862029E-4</v>
      </c>
      <c r="H28" s="508">
        <f>'Annex 3 Total O&amp;M'!G45*$C28</f>
        <v>304500.00000000006</v>
      </c>
      <c r="I28" s="507">
        <f t="shared" si="2"/>
        <v>5.4831461538495619E-3</v>
      </c>
      <c r="J28" s="538">
        <f>'Annex 3 Total O&amp;M'!I45*$C28</f>
        <v>221274.00000000003</v>
      </c>
      <c r="K28" s="510">
        <f>'Annex 3 Total O&amp;M'!K45*$C28</f>
        <v>225699.48000000004</v>
      </c>
      <c r="L28" s="506">
        <f>'Annex 3 Total O&amp;M'!M45*$C28</f>
        <v>230213.46960000001</v>
      </c>
      <c r="M28" s="506">
        <f>'Annex 3 Total O&amp;M'!O45*$C28</f>
        <v>234817.73899200003</v>
      </c>
      <c r="N28" s="506">
        <f>'Annex 3 Total O&amp;M'!Q45*$C28</f>
        <v>239514.09377184004</v>
      </c>
      <c r="O28" s="506">
        <f>'Annex 3 Total O&amp;M'!S45*$C28</f>
        <v>246699.51658499523</v>
      </c>
      <c r="R28" s="515"/>
      <c r="S28" s="515"/>
    </row>
    <row r="29" spans="1:19">
      <c r="A29" s="513"/>
      <c r="B29" s="514" t="str">
        <f>'Annex 3a - Water'!B29</f>
        <v>Games&amp; Sports</v>
      </c>
      <c r="C29" s="500">
        <f>1-'Annex 3a - Water'!C29</f>
        <v>0.30000000000000004</v>
      </c>
      <c r="D29" s="506">
        <f>'Annex 3 Total O&amp;M'!C46*$C29</f>
        <v>250239.00000000003</v>
      </c>
      <c r="E29" s="507">
        <f t="shared" si="0"/>
        <v>4.8716090139688849E-3</v>
      </c>
      <c r="F29" s="508">
        <f>'Annex 3 Total O&amp;M'!E46*$C29</f>
        <v>13560.000000000002</v>
      </c>
      <c r="G29" s="507">
        <f t="shared" si="1"/>
        <v>2.1647619579139718E-4</v>
      </c>
      <c r="H29" s="508">
        <f>'Annex 3 Total O&amp;M'!G46*$C29</f>
        <v>99600.000000000015</v>
      </c>
      <c r="I29" s="507">
        <f t="shared" si="2"/>
        <v>1.7935019931803492E-3</v>
      </c>
      <c r="J29" s="538">
        <f>'Annex 3 Total O&amp;M'!I46*$C29</f>
        <v>0</v>
      </c>
      <c r="K29" s="510">
        <f>'Annex 3 Total O&amp;M'!K46*$C29</f>
        <v>0</v>
      </c>
      <c r="L29" s="506">
        <f>'Annex 3 Total O&amp;M'!M46*$C29</f>
        <v>0</v>
      </c>
      <c r="M29" s="506">
        <f>'Annex 3 Total O&amp;M'!O46*$C29</f>
        <v>0</v>
      </c>
      <c r="N29" s="506">
        <f>'Annex 3 Total O&amp;M'!Q46*$C29</f>
        <v>0</v>
      </c>
      <c r="O29" s="506">
        <f>'Annex 3 Total O&amp;M'!S46*$C29</f>
        <v>0</v>
      </c>
      <c r="R29" s="515"/>
      <c r="S29" s="515"/>
    </row>
    <row r="30" spans="1:19" s="522" customFormat="1">
      <c r="A30" s="516" t="s">
        <v>51</v>
      </c>
      <c r="B30" s="512" t="s">
        <v>52</v>
      </c>
      <c r="C30" s="517"/>
      <c r="D30" s="518">
        <f t="shared" ref="D30:O30" si="3">SUM(D7:D29)</f>
        <v>35830200.899999999</v>
      </c>
      <c r="E30" s="519">
        <f t="shared" si="3"/>
        <v>0.69753607422006991</v>
      </c>
      <c r="F30" s="518">
        <f t="shared" si="3"/>
        <v>42470703.600000009</v>
      </c>
      <c r="G30" s="519">
        <f t="shared" si="3"/>
        <v>0.67801595486076671</v>
      </c>
      <c r="H30" s="518">
        <f t="shared" si="3"/>
        <v>40273476.900000006</v>
      </c>
      <c r="I30" s="519">
        <f t="shared" si="3"/>
        <v>0.72520643667121243</v>
      </c>
      <c r="J30" s="521">
        <f t="shared" si="3"/>
        <v>47763534.600000009</v>
      </c>
      <c r="K30" s="518">
        <f t="shared" si="3"/>
        <v>47206683.246000007</v>
      </c>
      <c r="L30" s="518">
        <f t="shared" si="3"/>
        <v>47895830.290920004</v>
      </c>
      <c r="M30" s="518">
        <f t="shared" si="3"/>
        <v>48853746.896738403</v>
      </c>
      <c r="N30" s="518">
        <f t="shared" si="3"/>
        <v>49830821.834673189</v>
      </c>
      <c r="O30" s="518">
        <f t="shared" si="3"/>
        <v>50833584.624252126</v>
      </c>
      <c r="R30" s="523">
        <f>F30/D30-1</f>
        <v>0.18533255558720607</v>
      </c>
      <c r="S30" s="523">
        <f>H30/F30-1</f>
        <v>-5.1735114178800723E-2</v>
      </c>
    </row>
    <row r="31" spans="1:19">
      <c r="A31" s="524"/>
      <c r="B31" s="514" t="str">
        <f>'Annex 3a - Water'!B31</f>
        <v>Maintenance and repairs</v>
      </c>
      <c r="C31" s="500"/>
      <c r="D31" s="501"/>
      <c r="E31" s="501"/>
      <c r="F31" s="526"/>
      <c r="G31" s="501"/>
      <c r="H31" s="526"/>
      <c r="I31" s="501"/>
      <c r="J31" s="509">
        <v>5240600</v>
      </c>
      <c r="K31" s="501"/>
      <c r="L31" s="501"/>
      <c r="M31" s="501"/>
      <c r="N31" s="501"/>
      <c r="O31" s="501"/>
      <c r="R31" s="515"/>
      <c r="S31" s="515"/>
    </row>
    <row r="32" spans="1:19">
      <c r="A32" s="524"/>
      <c r="B32" s="514" t="str">
        <f>'Annex 3a - Water'!B32</f>
        <v>Software maintenance</v>
      </c>
      <c r="C32" s="500">
        <f>1-'Annex 3a - Water'!C32</f>
        <v>0.30000000000000004</v>
      </c>
      <c r="D32" s="506">
        <f>'Annex 3 Total O&amp;M'!C38*$C32</f>
        <v>293550.00000000006</v>
      </c>
      <c r="E32" s="507">
        <f>D32/$D$72</f>
        <v>5.7147799745465985E-3</v>
      </c>
      <c r="F32" s="508">
        <f>'Annex 3 Total O&amp;M'!E38*$C32</f>
        <v>331457.70000000007</v>
      </c>
      <c r="G32" s="507">
        <f>F32/$F$72</f>
        <v>5.2914971948205157E-3</v>
      </c>
      <c r="H32" s="508">
        <f>'Annex 3 Total O&amp;M'!G38*$C32</f>
        <v>385991.10000000003</v>
      </c>
      <c r="I32" s="507">
        <f>H32/$H$72</f>
        <v>6.9505603132517619E-3</v>
      </c>
      <c r="J32" s="538">
        <f>'Annex 3 Total O&amp;M'!I38*$C32</f>
        <v>100170.00000000001</v>
      </c>
      <c r="K32" s="510">
        <f>'Annex 3 Total O&amp;M'!K38*$C32</f>
        <v>101171.70000000001</v>
      </c>
      <c r="L32" s="506">
        <f>'Annex 3 Total O&amp;M'!M38*$C32</f>
        <v>102183.41700000002</v>
      </c>
      <c r="M32" s="506">
        <f>'Annex 3 Total O&amp;M'!O38*$C32</f>
        <v>103205.25117000002</v>
      </c>
      <c r="N32" s="506">
        <f>'Annex 3 Total O&amp;M'!Q38*$C32</f>
        <v>104237.30368170001</v>
      </c>
      <c r="O32" s="506">
        <f>'Annex 3 Total O&amp;M'!S38*$C32</f>
        <v>105279.67671851702</v>
      </c>
      <c r="R32" s="515"/>
      <c r="S32" s="515"/>
    </row>
    <row r="33" spans="1:19">
      <c r="A33" s="524"/>
      <c r="B33" s="514" t="str">
        <f>'Annex 3a - Water'!B33</f>
        <v>Motor Vehicles Repairs</v>
      </c>
      <c r="C33" s="500">
        <f>1-'Annex 3a - Water'!C33</f>
        <v>0.30000000000000004</v>
      </c>
      <c r="D33" s="506">
        <f>'Annex 3 Total O&amp;M'!C39*$C33</f>
        <v>1117884.9000000001</v>
      </c>
      <c r="E33" s="507">
        <f>D33/$D$72</f>
        <v>2.1762787396927361E-2</v>
      </c>
      <c r="F33" s="508">
        <f>'Annex 3 Total O&amp;M'!E39*$C33</f>
        <v>1222707.6000000001</v>
      </c>
      <c r="G33" s="507">
        <f>F33/$F$72</f>
        <v>1.9519696888881222E-2</v>
      </c>
      <c r="H33" s="508">
        <f>'Annex 3 Total O&amp;M'!G39*$C33</f>
        <v>392510.40000000008</v>
      </c>
      <c r="I33" s="507">
        <f>H33/$H$72</f>
        <v>7.067953662088516E-3</v>
      </c>
      <c r="J33" s="538">
        <f>'Annex 3 Total O&amp;M'!I39*$C33</f>
        <v>382209.30000000005</v>
      </c>
      <c r="K33" s="510">
        <f>'Annex 3 Total O&amp;M'!K39*$C33</f>
        <v>386031.3930000001</v>
      </c>
      <c r="L33" s="506">
        <f>'Annex 3 Total O&amp;M'!M39*$C33</f>
        <v>389891.7069300001</v>
      </c>
      <c r="M33" s="506">
        <f>'Annex 3 Total O&amp;M'!O39*$C33</f>
        <v>393790.62399930012</v>
      </c>
      <c r="N33" s="506">
        <f>'Annex 3 Total O&amp;M'!Q39*$C33</f>
        <v>397728.53023929312</v>
      </c>
      <c r="O33" s="506">
        <f>'Annex 3 Total O&amp;M'!S39*$C33</f>
        <v>401705.81554168608</v>
      </c>
      <c r="R33" s="515"/>
      <c r="S33" s="515"/>
    </row>
    <row r="34" spans="1:19">
      <c r="A34" s="524"/>
      <c r="B34" s="514" t="str">
        <f>'Annex 3a - Water'!B34</f>
        <v>Infrastructure Maintenance</v>
      </c>
      <c r="C34" s="500">
        <f>1-'Annex 3a - Water'!C34</f>
        <v>0.30000000000000004</v>
      </c>
      <c r="D34" s="506">
        <f>'Annex 3 Total O&amp;M'!C40*$C34</f>
        <v>3526032.6000000006</v>
      </c>
      <c r="E34" s="507">
        <f>D34/$D$72</f>
        <v>6.8644184950020365E-2</v>
      </c>
      <c r="F34" s="508">
        <f>'Annex 3 Total O&amp;M'!E40*$C34</f>
        <v>3877934.7000000007</v>
      </c>
      <c r="G34" s="507">
        <f>F34/$F$72</f>
        <v>6.1908595234767931E-2</v>
      </c>
      <c r="H34" s="508">
        <f>'Annex 3 Total O&amp;M'!G40*$C34</f>
        <v>1893549.3000000003</v>
      </c>
      <c r="I34" s="507">
        <f>H34/$H$72</f>
        <v>3.4097233370835894E-2</v>
      </c>
      <c r="J34" s="538">
        <f>'Annex 3 Total O&amp;M'!I40*$C34</f>
        <v>12071855.400000002</v>
      </c>
      <c r="K34" s="510">
        <f>'Annex 3 Total O&amp;M'!K40*$C34</f>
        <v>12192573.954000002</v>
      </c>
      <c r="L34" s="506">
        <f>'Annex 3 Total O&amp;M'!M40*$C34</f>
        <v>12314499.693540001</v>
      </c>
      <c r="M34" s="506">
        <f>'Annex 3 Total O&amp;M'!O40*$C34</f>
        <v>12437644.690475399</v>
      </c>
      <c r="N34" s="506">
        <f>'Annex 3 Total O&amp;M'!Q40*$C34</f>
        <v>12562021.137380155</v>
      </c>
      <c r="O34" s="506">
        <f>'Annex 3 Total O&amp;M'!S40*$C34</f>
        <v>12687641.348753961</v>
      </c>
      <c r="R34" s="515"/>
      <c r="S34" s="515"/>
    </row>
    <row r="35" spans="1:19" s="522" customFormat="1">
      <c r="A35" s="516" t="s">
        <v>55</v>
      </c>
      <c r="B35" s="512" t="str">
        <f>'Annex 3a - Water'!B35</f>
        <v>Total Maintenance and Repairs</v>
      </c>
      <c r="C35" s="517"/>
      <c r="D35" s="518">
        <f t="shared" ref="D35:O35" si="4">SUM(D32:D34)</f>
        <v>4937467.5000000009</v>
      </c>
      <c r="E35" s="519">
        <f t="shared" si="4"/>
        <v>9.6121752321494322E-2</v>
      </c>
      <c r="F35" s="518">
        <f t="shared" si="4"/>
        <v>5432100.0000000009</v>
      </c>
      <c r="G35" s="519">
        <f t="shared" si="4"/>
        <v>8.6719789318469673E-2</v>
      </c>
      <c r="H35" s="518">
        <f t="shared" si="4"/>
        <v>2672050.8000000003</v>
      </c>
      <c r="I35" s="519">
        <f t="shared" si="4"/>
        <v>4.8115747346176171E-2</v>
      </c>
      <c r="J35" s="521">
        <f>SUM(J31:J34)</f>
        <v>17794834.700000003</v>
      </c>
      <c r="K35" s="518">
        <f t="shared" si="4"/>
        <v>12679777.047000002</v>
      </c>
      <c r="L35" s="518">
        <f t="shared" si="4"/>
        <v>12806574.817470001</v>
      </c>
      <c r="M35" s="518">
        <f t="shared" si="4"/>
        <v>12934640.565644698</v>
      </c>
      <c r="N35" s="518">
        <f t="shared" si="4"/>
        <v>13063986.971301148</v>
      </c>
      <c r="O35" s="518">
        <f t="shared" si="4"/>
        <v>13194626.841014164</v>
      </c>
      <c r="R35" s="523"/>
      <c r="S35" s="523"/>
    </row>
    <row r="36" spans="1:19">
      <c r="A36" s="524"/>
      <c r="B36" s="512" t="str">
        <f>'Annex 3a - Water'!B36</f>
        <v>Aministration Expenses</v>
      </c>
      <c r="C36" s="517"/>
      <c r="D36" s="501"/>
      <c r="E36" s="501"/>
      <c r="F36" s="526"/>
      <c r="G36" s="501"/>
      <c r="H36" s="526"/>
      <c r="I36" s="501"/>
      <c r="J36" s="503"/>
      <c r="K36" s="501"/>
      <c r="L36" s="501"/>
      <c r="M36" s="501"/>
      <c r="N36" s="501"/>
      <c r="O36" s="501"/>
      <c r="R36" s="515"/>
      <c r="S36" s="515"/>
    </row>
    <row r="37" spans="1:19">
      <c r="A37" s="524"/>
      <c r="B37" s="573" t="str">
        <f>'Annex 3a - Water'!B37</f>
        <v>Postage, Telephone and Internet</v>
      </c>
      <c r="C37" s="500">
        <f>1-'Annex 3a - Water'!C37</f>
        <v>0.30000000000000004</v>
      </c>
      <c r="D37" s="506">
        <f>'Annex 3 Total O&amp;M'!C43*$C37</f>
        <v>338867.4</v>
      </c>
      <c r="E37" s="507">
        <f t="shared" ref="E37:E56" si="5">D37/$D$72</f>
        <v>6.5970111788338339E-3</v>
      </c>
      <c r="F37" s="508">
        <f>'Annex 3 Total O&amp;M'!E43*$C37</f>
        <v>410813.40000000008</v>
      </c>
      <c r="G37" s="507">
        <f t="shared" ref="G37:G56" si="6">F37/$F$72</f>
        <v>6.558357080540529E-3</v>
      </c>
      <c r="H37" s="508">
        <f>'Annex 3 Total O&amp;M'!G43*$C37</f>
        <v>894148.80000000016</v>
      </c>
      <c r="I37" s="507">
        <f t="shared" ref="I37:I56" si="7">H37/$H$72</f>
        <v>1.6100980471885719E-2</v>
      </c>
      <c r="J37" s="538">
        <f>'Annex 3 Total O&amp;M'!I43*$C37</f>
        <v>950406.30000000016</v>
      </c>
      <c r="K37" s="506">
        <f>'Annex 3 Total O&amp;M'!K43*$C37</f>
        <v>969414.42600000009</v>
      </c>
      <c r="L37" s="506">
        <f>'Annex 3 Total O&amp;M'!M43*$C37</f>
        <v>988802.71452000015</v>
      </c>
      <c r="M37" s="506">
        <f>'Annex 3 Total O&amp;M'!O43*$C37</f>
        <v>1008578.7688104003</v>
      </c>
      <c r="N37" s="506">
        <f>'Annex 3 Total O&amp;M'!Q43*$C37</f>
        <v>1028750.3441866083</v>
      </c>
      <c r="O37" s="506">
        <f>'Annex 3 Total O&amp;M'!S43*$C37</f>
        <v>1049325.3510703405</v>
      </c>
      <c r="R37" s="515">
        <f t="shared" ref="R37:R52" si="8">F37/D37-1</f>
        <v>0.21231313487222447</v>
      </c>
      <c r="S37" s="515">
        <f t="shared" ref="S37:S52" si="9">H37/F37-1</f>
        <v>1.1765327031688839</v>
      </c>
    </row>
    <row r="38" spans="1:19">
      <c r="A38" s="524"/>
      <c r="B38" s="573" t="str">
        <f>'Annex 3a - Water'!B38</f>
        <v>Transportation, travelling and Subsistence</v>
      </c>
      <c r="C38" s="500">
        <f>1-'Annex 3a - Water'!C38</f>
        <v>0.30000000000000004</v>
      </c>
      <c r="D38" s="506">
        <f>'Annex 3 Total O&amp;M'!C47*$C38</f>
        <v>3100406.7000000007</v>
      </c>
      <c r="E38" s="507">
        <f t="shared" si="5"/>
        <v>6.0358174491943806E-2</v>
      </c>
      <c r="F38" s="508">
        <f>'Annex 3 Total O&amp;M'!E47*$C38</f>
        <v>2449333.5000000005</v>
      </c>
      <c r="G38" s="507">
        <f t="shared" si="6"/>
        <v>3.9101946777612695E-2</v>
      </c>
      <c r="H38" s="508">
        <f>'Annex 3 Total O&amp;M'!G47*$C38</f>
        <v>2306013.3000000003</v>
      </c>
      <c r="I38" s="507">
        <f t="shared" si="7"/>
        <v>4.1524492468377458E-2</v>
      </c>
      <c r="J38" s="538">
        <f>'Annex 3 Total O&amp;M'!I47*$C38</f>
        <v>2953593.6000000006</v>
      </c>
      <c r="K38" s="506">
        <f>'Annex 3 Total O&amp;M'!K47*$C38</f>
        <v>3012665.4720000005</v>
      </c>
      <c r="L38" s="506">
        <f>'Annex 3 Total O&amp;M'!M47*$C38</f>
        <v>3072918.7814400005</v>
      </c>
      <c r="M38" s="506">
        <f>'Annex 3 Total O&amp;M'!O47*$C38</f>
        <v>3134377.1570688011</v>
      </c>
      <c r="N38" s="506">
        <f>'Annex 3 Total O&amp;M'!Q47*$C38</f>
        <v>3197064.7002101769</v>
      </c>
      <c r="O38" s="506">
        <f>'Annex 3 Total O&amp;M'!S47*$C38</f>
        <v>3261005.9942143806</v>
      </c>
      <c r="R38" s="515">
        <f t="shared" si="8"/>
        <v>-0.20999606277460314</v>
      </c>
      <c r="S38" s="515">
        <f t="shared" si="9"/>
        <v>-5.8513959001499916E-2</v>
      </c>
    </row>
    <row r="39" spans="1:19">
      <c r="A39" s="524"/>
      <c r="B39" s="573" t="str">
        <f>'Annex 3a - Water'!B39</f>
        <v>Printing, Stationery, Newspapers</v>
      </c>
      <c r="C39" s="500">
        <f>1-'Annex 3a - Water'!C39</f>
        <v>0.30000000000000004</v>
      </c>
      <c r="D39" s="506">
        <f>'Annex 3 Total O&amp;M'!C48*$C39</f>
        <v>330954.00000000006</v>
      </c>
      <c r="E39" s="507">
        <f t="shared" si="5"/>
        <v>6.4429544939400276E-3</v>
      </c>
      <c r="F39" s="508">
        <f>'Annex 3 Total O&amp;M'!E48*$C39</f>
        <v>529221.00000000012</v>
      </c>
      <c r="G39" s="507">
        <f t="shared" si="6"/>
        <v>8.4486540422506647E-3</v>
      </c>
      <c r="H39" s="508">
        <f>'Annex 3 Total O&amp;M'!G48*$C39</f>
        <v>703689.00000000012</v>
      </c>
      <c r="I39" s="507">
        <f t="shared" si="7"/>
        <v>1.2671361687541034E-2</v>
      </c>
      <c r="J39" s="538">
        <f>'Annex 3 Total O&amp;M'!I48*$C39</f>
        <v>720590.40000000014</v>
      </c>
      <c r="K39" s="506">
        <f>'Annex 3 Total O&amp;M'!K48*$C39</f>
        <v>735002.2080000001</v>
      </c>
      <c r="L39" s="506">
        <f>'Annex 3 Total O&amp;M'!M48*$C39</f>
        <v>749702.25216000003</v>
      </c>
      <c r="M39" s="506">
        <f>'Annex 3 Total O&amp;M'!O48*$C39</f>
        <v>764696.29720320005</v>
      </c>
      <c r="N39" s="506">
        <f>'Annex 3 Total O&amp;M'!Q48*$C39</f>
        <v>779990.2231472641</v>
      </c>
      <c r="O39" s="506">
        <f>'Annex 3 Total O&amp;M'!S48*$C39</f>
        <v>795590.0276102093</v>
      </c>
      <c r="R39" s="515">
        <f t="shared" si="8"/>
        <v>0.59907721314744644</v>
      </c>
      <c r="S39" s="515">
        <f t="shared" si="9"/>
        <v>0.3296694575612078</v>
      </c>
    </row>
    <row r="40" spans="1:19">
      <c r="A40" s="524"/>
      <c r="B40" s="573" t="str">
        <f>'Annex 3a - Water'!B40</f>
        <v>Security Services</v>
      </c>
      <c r="C40" s="500">
        <f>1-'Annex 3a - Water'!C40</f>
        <v>0.30000000000000004</v>
      </c>
      <c r="D40" s="506">
        <f>'Annex 3 Total O&amp;M'!C49*$C40</f>
        <v>2453052.0000000005</v>
      </c>
      <c r="E40" s="507">
        <f t="shared" si="5"/>
        <v>4.7755586598949018E-2</v>
      </c>
      <c r="F40" s="508">
        <f>'Annex 3 Total O&amp;M'!E49*$C40</f>
        <v>2512809.6000000006</v>
      </c>
      <c r="G40" s="507">
        <f t="shared" si="6"/>
        <v>4.0115299628031155E-2</v>
      </c>
      <c r="H40" s="508">
        <f>'Annex 3 Total O&amp;M'!G49*$C40</f>
        <v>2356320.0000000005</v>
      </c>
      <c r="I40" s="507">
        <f t="shared" si="7"/>
        <v>4.2430367636252221E-2</v>
      </c>
      <c r="J40" s="538">
        <f>'Annex 3 Total O&amp;M'!I49*$C40</f>
        <v>1481213.7000000002</v>
      </c>
      <c r="K40" s="506">
        <f>'Annex 3 Total O&amp;M'!K49*$C40</f>
        <v>1510837.9740000002</v>
      </c>
      <c r="L40" s="506">
        <f>'Annex 3 Total O&amp;M'!M49*$C40</f>
        <v>1541054.7334800004</v>
      </c>
      <c r="M40" s="506">
        <f>'Annex 3 Total O&amp;M'!O49*$C40</f>
        <v>1571875.8281496002</v>
      </c>
      <c r="N40" s="506">
        <f>'Annex 3 Total O&amp;M'!Q49*$C40</f>
        <v>1603313.3447125922</v>
      </c>
      <c r="O40" s="506">
        <f>'Annex 3 Total O&amp;M'!S49*$C40</f>
        <v>1635379.6116068442</v>
      </c>
      <c r="R40" s="515">
        <f t="shared" si="8"/>
        <v>2.4360510906413779E-2</v>
      </c>
      <c r="S40" s="515">
        <f t="shared" si="9"/>
        <v>-6.2276743928389999E-2</v>
      </c>
    </row>
    <row r="41" spans="1:19">
      <c r="A41" s="524"/>
      <c r="B41" s="573" t="str">
        <f>'Annex 3a - Water'!B41</f>
        <v>Fuel</v>
      </c>
      <c r="C41" s="500">
        <f>1-'Annex 3a - Water'!C41</f>
        <v>0.30000000000000004</v>
      </c>
      <c r="D41" s="506">
        <f>'Annex 3 Total O&amp;M'!C50*$C41</f>
        <v>857329.80000000016</v>
      </c>
      <c r="E41" s="507">
        <f t="shared" si="5"/>
        <v>1.6690346355380824E-2</v>
      </c>
      <c r="F41" s="508">
        <f>'Annex 3 Total O&amp;M'!E50*$C41</f>
        <v>1346889.3000000003</v>
      </c>
      <c r="G41" s="507">
        <f t="shared" si="6"/>
        <v>2.1502173437768283E-2</v>
      </c>
      <c r="H41" s="508">
        <f>'Annex 3 Total O&amp;M'!G50*$C41</f>
        <v>1202989.5000000002</v>
      </c>
      <c r="I41" s="507">
        <f t="shared" si="7"/>
        <v>2.1662289819528432E-2</v>
      </c>
      <c r="J41" s="538">
        <f>'Annex 3 Total O&amp;M'!I50*$C41</f>
        <v>1277475.0000000002</v>
      </c>
      <c r="K41" s="506">
        <f>'Annex 3 Total O&amp;M'!K50*$C41</f>
        <v>1303024.5000000002</v>
      </c>
      <c r="L41" s="506">
        <f>'Annex 3 Total O&amp;M'!M50*$C41</f>
        <v>1329084.9900000002</v>
      </c>
      <c r="M41" s="506">
        <f>'Annex 3 Total O&amp;M'!O50*$C41</f>
        <v>1355666.6898000003</v>
      </c>
      <c r="N41" s="506">
        <f>'Annex 3 Total O&amp;M'!Q50*$C41</f>
        <v>1382780.0235960002</v>
      </c>
      <c r="O41" s="506">
        <f>'Annex 3 Total O&amp;M'!S50*$C41</f>
        <v>1410435.6240679203</v>
      </c>
      <c r="R41" s="515">
        <f t="shared" si="8"/>
        <v>0.57102820874767213</v>
      </c>
      <c r="S41" s="515">
        <f t="shared" si="9"/>
        <v>-0.10683862437692537</v>
      </c>
    </row>
    <row r="42" spans="1:19">
      <c r="A42" s="524"/>
      <c r="B42" s="573" t="str">
        <f>'Annex 3a - Water'!B42</f>
        <v>Lab Reagents</v>
      </c>
      <c r="C42" s="500">
        <f>1-'Annex 3a - Water'!C42</f>
        <v>0.30000000000000004</v>
      </c>
      <c r="D42" s="506">
        <f>'Annex 3 Total O&amp;M'!C51*$C42</f>
        <v>7200.0000000000009</v>
      </c>
      <c r="E42" s="507">
        <f t="shared" si="5"/>
        <v>1.4016833867053487E-4</v>
      </c>
      <c r="F42" s="508">
        <f>'Annex 3 Total O&amp;M'!E51*$C42</f>
        <v>9735.9000000000015</v>
      </c>
      <c r="G42" s="507">
        <f t="shared" si="6"/>
        <v>1.5542703500040294E-4</v>
      </c>
      <c r="H42" s="508">
        <f>'Annex 3 Total O&amp;M'!G51*$C42</f>
        <v>21480.000000000004</v>
      </c>
      <c r="I42" s="507">
        <f t="shared" si="7"/>
        <v>3.8679139370997894E-4</v>
      </c>
      <c r="J42" s="538">
        <f>'Annex 3 Total O&amp;M'!I51*$C42</f>
        <v>32733.300000000007</v>
      </c>
      <c r="K42" s="506">
        <f>'Annex 3 Total O&amp;M'!K51*$C42</f>
        <v>33387.966000000008</v>
      </c>
      <c r="L42" s="506">
        <f>'Annex 3 Total O&amp;M'!M51*$C42</f>
        <v>34055.725320000005</v>
      </c>
      <c r="M42" s="506">
        <f>'Annex 3 Total O&amp;M'!O51*$C42</f>
        <v>34736.839826400013</v>
      </c>
      <c r="N42" s="506">
        <f>'Annex 3 Total O&amp;M'!Q51*$C42</f>
        <v>35431.576622928013</v>
      </c>
      <c r="O42" s="506">
        <f>'Annex 3 Total O&amp;M'!S51*$C42</f>
        <v>36140.208155386572</v>
      </c>
      <c r="R42" s="515">
        <f t="shared" si="8"/>
        <v>0.35220833333333346</v>
      </c>
      <c r="S42" s="515">
        <f t="shared" si="9"/>
        <v>1.206267525344344</v>
      </c>
    </row>
    <row r="43" spans="1:19">
      <c r="A43" s="524"/>
      <c r="B43" s="573" t="str">
        <f>'Annex 3a - Water'!B43</f>
        <v>Domestic Requisites/ Hospitality</v>
      </c>
      <c r="C43" s="500">
        <f>1-'Annex 3a - Water'!C43</f>
        <v>0.30000000000000004</v>
      </c>
      <c r="D43" s="506">
        <f>'Annex 3 Total O&amp;M'!C52*$C43</f>
        <v>587140.20000000007</v>
      </c>
      <c r="E43" s="507">
        <f t="shared" si="5"/>
        <v>1.1430342555650773E-2</v>
      </c>
      <c r="F43" s="508">
        <f>'Annex 3 Total O&amp;M'!E52*$C43</f>
        <v>432471.60000000009</v>
      </c>
      <c r="G43" s="507">
        <f t="shared" si="6"/>
        <v>6.9041155424645149E-3</v>
      </c>
      <c r="H43" s="508">
        <f>'Annex 3 Total O&amp;M'!G52*$C43</f>
        <v>182265.90000000002</v>
      </c>
      <c r="I43" s="507">
        <f t="shared" si="7"/>
        <v>3.2820708327189782E-3</v>
      </c>
      <c r="J43" s="538">
        <f>'Annex 3 Total O&amp;M'!I52*$C43</f>
        <v>501220.50000000006</v>
      </c>
      <c r="K43" s="506">
        <f>'Annex 3 Total O&amp;M'!K52*$C43</f>
        <v>511244.91000000003</v>
      </c>
      <c r="L43" s="506">
        <f>'Annex 3 Total O&amp;M'!M52*$C43</f>
        <v>521469.80820000003</v>
      </c>
      <c r="M43" s="506">
        <f>'Annex 3 Total O&amp;M'!O52*$C43</f>
        <v>531899.20436400012</v>
      </c>
      <c r="N43" s="506">
        <f>'Annex 3 Total O&amp;M'!Q52*$C43</f>
        <v>542537.18845128012</v>
      </c>
      <c r="O43" s="506">
        <f>'Annex 3 Total O&amp;M'!S52*$C43</f>
        <v>553387.93222030578</v>
      </c>
      <c r="R43" s="515">
        <f t="shared" si="8"/>
        <v>-0.26342703156758807</v>
      </c>
      <c r="S43" s="515">
        <f t="shared" si="9"/>
        <v>-0.57854827923960794</v>
      </c>
    </row>
    <row r="44" spans="1:19">
      <c r="A44" s="513"/>
      <c r="B44" s="573" t="str">
        <f>'Annex 3a - Water'!B44</f>
        <v>Social Corporate Responsibility</v>
      </c>
      <c r="C44" s="500">
        <f>1-'Annex 3a - Water'!C44</f>
        <v>0.30000000000000004</v>
      </c>
      <c r="D44" s="506">
        <f>'Annex 3 Total O&amp;M'!C53*$C44</f>
        <v>18600.000000000004</v>
      </c>
      <c r="E44" s="507">
        <f t="shared" si="5"/>
        <v>3.6210154156554841E-4</v>
      </c>
      <c r="F44" s="508">
        <f>'Annex 3 Total O&amp;M'!E53*$C44</f>
        <v>93090.000000000015</v>
      </c>
      <c r="G44" s="507">
        <f t="shared" si="6"/>
        <v>1.4861186627006758E-3</v>
      </c>
      <c r="H44" s="508">
        <f>'Annex 3 Total O&amp;M'!G53*$C44</f>
        <v>225972.00000000003</v>
      </c>
      <c r="I44" s="507">
        <f t="shared" si="7"/>
        <v>4.0690886787444766E-3</v>
      </c>
      <c r="J44" s="538">
        <f>'Annex 3 Total O&amp;M'!I53*$C44</f>
        <v>149670.00000000003</v>
      </c>
      <c r="K44" s="506">
        <f>'Annex 3 Total O&amp;M'!K53*$C44</f>
        <v>152663.40000000002</v>
      </c>
      <c r="L44" s="506">
        <f>'Annex 3 Total O&amp;M'!M53*$C44</f>
        <v>155716.66800000003</v>
      </c>
      <c r="M44" s="506">
        <f>'Annex 3 Total O&amp;M'!O53*$C44</f>
        <v>158831.00136000002</v>
      </c>
      <c r="N44" s="506">
        <f>'Annex 3 Total O&amp;M'!Q53*$C44</f>
        <v>162007.62138720002</v>
      </c>
      <c r="O44" s="506">
        <f>'Annex 3 Total O&amp;M'!S53*$C44</f>
        <v>165247.77381494403</v>
      </c>
      <c r="R44" s="515">
        <f t="shared" si="8"/>
        <v>4.0048387096774194</v>
      </c>
      <c r="S44" s="515">
        <f t="shared" si="9"/>
        <v>1.4274572993876893</v>
      </c>
    </row>
    <row r="45" spans="1:19">
      <c r="A45" s="513"/>
      <c r="B45" s="573" t="str">
        <f>'Annex 3a - Water'!B45</f>
        <v>Uniform &amp; Protective clothing</v>
      </c>
      <c r="C45" s="500">
        <f>1-'Annex 3a - Water'!C45</f>
        <v>0.30000000000000004</v>
      </c>
      <c r="D45" s="506">
        <f>'Annex 3 Total O&amp;M'!C54*$C45</f>
        <v>65547.000000000015</v>
      </c>
      <c r="E45" s="507">
        <f t="shared" si="5"/>
        <v>1.2760575131718819E-3</v>
      </c>
      <c r="F45" s="508">
        <f>'Annex 3 Total O&amp;M'!E54*$C45</f>
        <v>21210.000000000004</v>
      </c>
      <c r="G45" s="507">
        <f t="shared" si="6"/>
        <v>3.3860325315158811E-4</v>
      </c>
      <c r="H45" s="508">
        <f>'Annex 3 Total O&amp;M'!G54*$C45</f>
        <v>18000.000000000004</v>
      </c>
      <c r="I45" s="507">
        <f t="shared" si="7"/>
        <v>3.2412686623741252E-4</v>
      </c>
      <c r="J45" s="538">
        <f>'Annex 3 Total O&amp;M'!I54*$C45</f>
        <v>959085.30000000016</v>
      </c>
      <c r="K45" s="506">
        <f>'Annex 3 Total O&amp;M'!K54*$C45</f>
        <v>978267.00600000017</v>
      </c>
      <c r="L45" s="506">
        <f>'Annex 3 Total O&amp;M'!M54*$C45</f>
        <v>997832.34612000012</v>
      </c>
      <c r="M45" s="506">
        <f>'Annex 3 Total O&amp;M'!O54*$C45</f>
        <v>1017788.9930424002</v>
      </c>
      <c r="N45" s="506">
        <f>'Annex 3 Total O&amp;M'!Q54*$C45</f>
        <v>1038144.7729032483</v>
      </c>
      <c r="O45" s="506">
        <f>'Annex 3 Total O&amp;M'!S54*$C45</f>
        <v>1058907.6683613132</v>
      </c>
      <c r="R45" s="515">
        <f t="shared" si="8"/>
        <v>-0.67641539658565608</v>
      </c>
      <c r="S45" s="515">
        <f t="shared" si="9"/>
        <v>-0.15134370579915135</v>
      </c>
    </row>
    <row r="46" spans="1:19">
      <c r="A46" s="513"/>
      <c r="B46" s="573" t="str">
        <f>'Annex 3a - Water'!B46</f>
        <v>Subscription Fees</v>
      </c>
      <c r="C46" s="500">
        <f>1-'Annex 3a - Water'!C46</f>
        <v>0.30000000000000004</v>
      </c>
      <c r="D46" s="506">
        <f>'Annex 3 Total O&amp;M'!C55*$C46</f>
        <v>150993.00000000003</v>
      </c>
      <c r="E46" s="507">
        <f t="shared" si="5"/>
        <v>2.9395052723444545E-3</v>
      </c>
      <c r="F46" s="508">
        <f>'Annex 3 Total O&amp;M'!E55*$C46</f>
        <v>157575.00000000003</v>
      </c>
      <c r="G46" s="507">
        <f t="shared" si="6"/>
        <v>2.5155779168015793E-3</v>
      </c>
      <c r="H46" s="508">
        <f>'Annex 3 Total O&amp;M'!G55*$C46</f>
        <v>259920.00000000003</v>
      </c>
      <c r="I46" s="507">
        <f t="shared" si="7"/>
        <v>4.680391948468237E-3</v>
      </c>
      <c r="J46" s="538">
        <f>'Annex 3 Total O&amp;M'!I55*$C46</f>
        <v>90657.000000000015</v>
      </c>
      <c r="K46" s="506">
        <f>'Annex 3 Total O&amp;M'!K55*$C46</f>
        <v>92470.140000000014</v>
      </c>
      <c r="L46" s="506">
        <f>'Annex 3 Total O&amp;M'!M55*$C46</f>
        <v>94319.54280000001</v>
      </c>
      <c r="M46" s="506">
        <f>'Annex 3 Total O&amp;M'!O55*$C46</f>
        <v>96205.933655999994</v>
      </c>
      <c r="N46" s="506">
        <f>'Annex 3 Total O&amp;M'!Q55*$C46</f>
        <v>98130.052329120008</v>
      </c>
      <c r="O46" s="506">
        <f>'Annex 3 Total O&amp;M'!S55*$C46</f>
        <v>100092.6533757024</v>
      </c>
      <c r="R46" s="515">
        <f t="shared" si="8"/>
        <v>4.3591424768035569E-2</v>
      </c>
      <c r="S46" s="515">
        <f t="shared" si="9"/>
        <v>0.64950023798191325</v>
      </c>
    </row>
    <row r="47" spans="1:19">
      <c r="A47" s="513"/>
      <c r="B47" s="573" t="str">
        <f>'Annex 3a - Water'!B47</f>
        <v>Publicity &amp; Advertisement</v>
      </c>
      <c r="C47" s="500">
        <f>1-'Annex 3a - Water'!C47</f>
        <v>0.30000000000000004</v>
      </c>
      <c r="D47" s="506">
        <f>'Annex 3 Total O&amp;M'!C56*$C47</f>
        <v>271796.40000000002</v>
      </c>
      <c r="E47" s="507">
        <f t="shared" si="5"/>
        <v>5.2912847006433552E-3</v>
      </c>
      <c r="F47" s="508">
        <f>'Annex 3 Total O&amp;M'!E56*$C47</f>
        <v>13500.000000000002</v>
      </c>
      <c r="G47" s="507">
        <f t="shared" si="6"/>
        <v>2.1551833651798394E-4</v>
      </c>
      <c r="H47" s="508">
        <f>'Annex 3 Total O&amp;M'!G56*$C47</f>
        <v>135666.6</v>
      </c>
      <c r="I47" s="507">
        <f t="shared" si="7"/>
        <v>2.4429549950602527E-3</v>
      </c>
      <c r="J47" s="538">
        <f>'Annex 3 Total O&amp;M'!I56*$C47</f>
        <v>146900.10000000003</v>
      </c>
      <c r="K47" s="506">
        <f>'Annex 3 Total O&amp;M'!K56*$C47</f>
        <v>149838.10200000004</v>
      </c>
      <c r="L47" s="506">
        <f>'Annex 3 Total O&amp;M'!M56*$C47</f>
        <v>152834.86404000001</v>
      </c>
      <c r="M47" s="506">
        <f>'Annex 3 Total O&amp;M'!O56*$C47</f>
        <v>155891.56132080004</v>
      </c>
      <c r="N47" s="506">
        <f>'Annex 3 Total O&amp;M'!Q56*$C47</f>
        <v>159009.39254721603</v>
      </c>
      <c r="O47" s="506">
        <f>'Annex 3 Total O&amp;M'!S56*$C47</f>
        <v>162189.58039816032</v>
      </c>
      <c r="R47" s="515">
        <f t="shared" si="8"/>
        <v>-0.95033046795321796</v>
      </c>
      <c r="S47" s="515">
        <f t="shared" si="9"/>
        <v>9.0493777777777762</v>
      </c>
    </row>
    <row r="48" spans="1:19">
      <c r="A48" s="513"/>
      <c r="B48" s="573" t="str">
        <f>'Annex 3a - Water'!B48</f>
        <v>Computer Accessories</v>
      </c>
      <c r="C48" s="500">
        <f>1-'Annex 3a - Water'!C48</f>
        <v>0.30000000000000004</v>
      </c>
      <c r="D48" s="506">
        <f>'Annex 3 Total O&amp;M'!C57*$C48</f>
        <v>96933.000000000015</v>
      </c>
      <c r="E48" s="507">
        <f t="shared" si="5"/>
        <v>1.8870746628265216E-3</v>
      </c>
      <c r="F48" s="508">
        <f>'Annex 3 Total O&amp;M'!E57*$C48</f>
        <v>279870.00000000006</v>
      </c>
      <c r="G48" s="507">
        <f t="shared" si="6"/>
        <v>4.4679345808361602E-3</v>
      </c>
      <c r="H48" s="508">
        <f>'Annex 3 Total O&amp;M'!G57*$C48</f>
        <v>185826.30000000002</v>
      </c>
      <c r="I48" s="507">
        <f t="shared" si="7"/>
        <v>3.3461831268607385E-3</v>
      </c>
      <c r="J48" s="538">
        <f>'Annex 3 Total O&amp;M'!I57*$C48</f>
        <v>993435.30000000016</v>
      </c>
      <c r="K48" s="506">
        <f>'Annex 3 Total O&amp;M'!K57*$C48</f>
        <v>1013304.0060000002</v>
      </c>
      <c r="L48" s="506">
        <f>'Annex 3 Total O&amp;M'!M57*$C48</f>
        <v>1033570.0861200001</v>
      </c>
      <c r="M48" s="506">
        <f>'Annex 3 Total O&amp;M'!O57*$C48</f>
        <v>1054241.4878424001</v>
      </c>
      <c r="N48" s="506">
        <f>'Annex 3 Total O&amp;M'!Q57*$C48</f>
        <v>1075326.3175992481</v>
      </c>
      <c r="O48" s="506">
        <f>'Annex 3 Total O&amp;M'!S57*$C48</f>
        <v>1096832.8439512332</v>
      </c>
      <c r="R48" s="515">
        <f t="shared" si="8"/>
        <v>1.8872520194361053</v>
      </c>
      <c r="S48" s="515">
        <f t="shared" si="9"/>
        <v>-0.33602636938578634</v>
      </c>
    </row>
    <row r="49" spans="1:19">
      <c r="A49" s="513"/>
      <c r="B49" s="573" t="str">
        <f>'Annex 3a - Water'!B49</f>
        <v>Motor Vehicle Insurance</v>
      </c>
      <c r="C49" s="500">
        <f>1-'Annex 3a - Water'!C49</f>
        <v>0.30000000000000004</v>
      </c>
      <c r="D49" s="506">
        <f>'Annex 3 Total O&amp;M'!C58*$C49</f>
        <v>247143.90000000002</v>
      </c>
      <c r="E49" s="507">
        <f t="shared" si="5"/>
        <v>4.8113541493828892E-3</v>
      </c>
      <c r="F49" s="508">
        <f>'Annex 3 Total O&amp;M'!E58*$C49</f>
        <v>131571.30000000002</v>
      </c>
      <c r="G49" s="507">
        <f t="shared" si="6"/>
        <v>2.1004464970006383E-3</v>
      </c>
      <c r="H49" s="508">
        <f>'Annex 3 Total O&amp;M'!G58*$C49</f>
        <v>150102.90000000002</v>
      </c>
      <c r="I49" s="507">
        <f t="shared" si="7"/>
        <v>2.702910143897095E-3</v>
      </c>
      <c r="J49" s="538">
        <f>'Annex 3 Total O&amp;M'!I58*$C49</f>
        <v>70735.200000000012</v>
      </c>
      <c r="K49" s="506">
        <f>'Annex 3 Total O&amp;M'!K58*$C49</f>
        <v>72149.90400000001</v>
      </c>
      <c r="L49" s="506">
        <f>'Annex 3 Total O&amp;M'!M58*$C49</f>
        <v>73592.902080000014</v>
      </c>
      <c r="M49" s="506">
        <f>'Annex 3 Total O&amp;M'!O58*$C49</f>
        <v>75064.760121600018</v>
      </c>
      <c r="N49" s="506">
        <f>'Annex 3 Total O&amp;M'!Q58*$C49</f>
        <v>76566.055324032015</v>
      </c>
      <c r="O49" s="506">
        <f>'Annex 3 Total O&amp;M'!S58*$C49</f>
        <v>78097.376430512653</v>
      </c>
      <c r="R49" s="515">
        <f t="shared" si="8"/>
        <v>-0.46763282443952692</v>
      </c>
      <c r="S49" s="515">
        <f t="shared" si="9"/>
        <v>0.1408483461058756</v>
      </c>
    </row>
    <row r="50" spans="1:19">
      <c r="A50" s="524"/>
      <c r="B50" s="573" t="str">
        <f>'Annex 3a - Water'!B50</f>
        <v>Bank Charges and Commissions</v>
      </c>
      <c r="C50" s="500">
        <f>1-'Annex 3a - Water'!C50</f>
        <v>0.30000000000000004</v>
      </c>
      <c r="D50" s="506">
        <f>'Annex 3 Total O&amp;M'!C59*$C50</f>
        <v>83067.000000000015</v>
      </c>
      <c r="E50" s="507">
        <f t="shared" si="5"/>
        <v>1.61713380393685E-3</v>
      </c>
      <c r="F50" s="508">
        <f>'Annex 3 Total O&amp;M'!E59*$C50</f>
        <v>0</v>
      </c>
      <c r="G50" s="507">
        <f t="shared" si="6"/>
        <v>0</v>
      </c>
      <c r="H50" s="508">
        <f>'Annex 3 Total O&amp;M'!G59*$C50</f>
        <v>66529.500000000015</v>
      </c>
      <c r="I50" s="507">
        <f t="shared" si="7"/>
        <v>1.1979999081856633E-3</v>
      </c>
      <c r="J50" s="538">
        <f>'Annex 3 Total O&amp;M'!I59*$C50</f>
        <v>17227.800000000003</v>
      </c>
      <c r="K50" s="506">
        <f>'Annex 3 Total O&amp;M'!K59*$C50</f>
        <v>17572.356000000003</v>
      </c>
      <c r="L50" s="506">
        <f>'Annex 3 Total O&amp;M'!M59*$C50</f>
        <v>17923.803120000004</v>
      </c>
      <c r="M50" s="506">
        <f>'Annex 3 Total O&amp;M'!O59*$C50</f>
        <v>18282.279182400005</v>
      </c>
      <c r="N50" s="506">
        <f>'Annex 3 Total O&amp;M'!Q59*$C50</f>
        <v>18647.924766048007</v>
      </c>
      <c r="O50" s="506">
        <f>'Annex 3 Total O&amp;M'!S59*$C50</f>
        <v>19020.883261368966</v>
      </c>
      <c r="R50" s="515">
        <f t="shared" si="8"/>
        <v>-1</v>
      </c>
      <c r="S50" s="515" t="e">
        <f t="shared" si="9"/>
        <v>#DIV/0!</v>
      </c>
    </row>
    <row r="51" spans="1:19">
      <c r="A51" s="524"/>
      <c r="B51" s="573" t="str">
        <f>'Annex 3a - Water'!B51</f>
        <v>Auditor's Remuneration</v>
      </c>
      <c r="C51" s="500">
        <f>1-'Annex 3a - Water'!C51</f>
        <v>0.30000000000000004</v>
      </c>
      <c r="D51" s="506">
        <f>'Annex 3 Total O&amp;M'!C60*$C51</f>
        <v>136800.00000000003</v>
      </c>
      <c r="E51" s="507">
        <f t="shared" si="5"/>
        <v>2.6631984347401626E-3</v>
      </c>
      <c r="F51" s="508">
        <f>'Annex 3 Total O&amp;M'!E60*$C51</f>
        <v>136800.00000000003</v>
      </c>
      <c r="G51" s="507">
        <f t="shared" si="6"/>
        <v>2.1839191433822374E-3</v>
      </c>
      <c r="H51" s="508">
        <f>'Annex 3 Total O&amp;M'!G60*$C51</f>
        <v>161068.20000000001</v>
      </c>
      <c r="I51" s="507">
        <f t="shared" si="7"/>
        <v>2.900362828694489E-3</v>
      </c>
      <c r="J51" s="538">
        <f>'Annex 3 Total O&amp;M'!I60*$C51</f>
        <v>0</v>
      </c>
      <c r="K51" s="506">
        <f>'Annex 3 Total O&amp;M'!K60*$C51</f>
        <v>0</v>
      </c>
      <c r="L51" s="506">
        <f>'Annex 3 Total O&amp;M'!M60*$C51</f>
        <v>0</v>
      </c>
      <c r="M51" s="506">
        <f>'Annex 3 Total O&amp;M'!O60*$C51</f>
        <v>0</v>
      </c>
      <c r="N51" s="506">
        <f>'Annex 3 Total O&amp;M'!Q60*$C51</f>
        <v>0</v>
      </c>
      <c r="O51" s="506">
        <f>'Annex 3 Total O&amp;M'!S60*$C51</f>
        <v>0</v>
      </c>
      <c r="R51" s="515">
        <f t="shared" si="8"/>
        <v>0</v>
      </c>
      <c r="S51" s="515">
        <f t="shared" si="9"/>
        <v>0.17739912280701731</v>
      </c>
    </row>
    <row r="52" spans="1:19">
      <c r="A52" s="524"/>
      <c r="B52" s="573" t="str">
        <f>'Annex 3a - Water'!B52</f>
        <v>Legal Fees</v>
      </c>
      <c r="C52" s="500">
        <f>1-'Annex 3a - Water'!C52</f>
        <v>0.30000000000000004</v>
      </c>
      <c r="D52" s="506">
        <f>'Annex 3 Total O&amp;M'!C61*$C52</f>
        <v>292415.70000000007</v>
      </c>
      <c r="E52" s="507">
        <f t="shared" si="5"/>
        <v>5.6926976208585452E-3</v>
      </c>
      <c r="F52" s="508">
        <f>'Annex 3 Total O&amp;M'!E61*$C52</f>
        <v>404772.60000000003</v>
      </c>
      <c r="G52" s="507">
        <f t="shared" si="6"/>
        <v>6.4619198088932813E-3</v>
      </c>
      <c r="H52" s="508">
        <f>'Annex 3 Total O&amp;M'!G61*$C52</f>
        <v>106746.60000000002</v>
      </c>
      <c r="I52" s="507">
        <f t="shared" si="7"/>
        <v>1.9221911633054767E-3</v>
      </c>
      <c r="J52" s="538">
        <f>'Annex 3 Total O&amp;M'!I61*$C52</f>
        <v>501960.00000000006</v>
      </c>
      <c r="K52" s="506">
        <f>'Annex 3 Total O&amp;M'!K61*$C52</f>
        <v>511999.20000000007</v>
      </c>
      <c r="L52" s="506">
        <f>'Annex 3 Total O&amp;M'!M61*$C52</f>
        <v>522239.18400000007</v>
      </c>
      <c r="M52" s="506">
        <f>'Annex 3 Total O&amp;M'!O61*$C52</f>
        <v>532683.96768000012</v>
      </c>
      <c r="N52" s="506">
        <f>'Annex 3 Total O&amp;M'!Q61*$C52</f>
        <v>543337.64703360014</v>
      </c>
      <c r="O52" s="506">
        <f>'Annex 3 Total O&amp;M'!S61*$C52</f>
        <v>554204.39997427212</v>
      </c>
      <c r="R52" s="515">
        <f t="shared" si="8"/>
        <v>0.38423689288912999</v>
      </c>
      <c r="S52" s="515">
        <f t="shared" si="9"/>
        <v>-0.73628007429356623</v>
      </c>
    </row>
    <row r="53" spans="1:19">
      <c r="A53" s="524"/>
      <c r="B53" s="573" t="str">
        <f>'Annex 3a - Water'!B53</f>
        <v>Consultancy/ Profession Fees</v>
      </c>
      <c r="C53" s="500">
        <f>1-'Annex 3a - Water'!C53</f>
        <v>0.30000000000000004</v>
      </c>
      <c r="D53" s="506">
        <f>'Annex 3 Total O&amp;M'!C62*$C53</f>
        <v>0</v>
      </c>
      <c r="E53" s="507">
        <f t="shared" si="5"/>
        <v>0</v>
      </c>
      <c r="F53" s="508">
        <f>'Annex 3 Total O&amp;M'!E62*$C53</f>
        <v>2453400.0000000005</v>
      </c>
      <c r="G53" s="507">
        <f t="shared" si="6"/>
        <v>3.9166865689868283E-2</v>
      </c>
      <c r="H53" s="508">
        <f>'Annex 3 Total O&amp;M'!G62*$C53</f>
        <v>0</v>
      </c>
      <c r="I53" s="507">
        <f t="shared" si="7"/>
        <v>0</v>
      </c>
      <c r="J53" s="538">
        <f>'Annex 3 Total O&amp;M'!I62*$C53</f>
        <v>333523.20000000007</v>
      </c>
      <c r="K53" s="506">
        <f>'Annex 3 Total O&amp;M'!K62*$C53</f>
        <v>340193.66400000011</v>
      </c>
      <c r="L53" s="506">
        <f>'Annex 3 Total O&amp;M'!M62*$C53</f>
        <v>346997.53728000005</v>
      </c>
      <c r="M53" s="506">
        <f>'Annex 3 Total O&amp;M'!O62*$C53</f>
        <v>353937.48802560009</v>
      </c>
      <c r="N53" s="506">
        <f>'Annex 3 Total O&amp;M'!Q62*$C53</f>
        <v>361016.23778611212</v>
      </c>
      <c r="O53" s="506">
        <f>'Annex 3 Total O&amp;M'!S62*$C53</f>
        <v>368236.56254183431</v>
      </c>
      <c r="R53" s="515"/>
      <c r="S53" s="515"/>
    </row>
    <row r="54" spans="1:19">
      <c r="A54" s="524"/>
      <c r="B54" s="573" t="str">
        <f>'Annex 3a - Water'!B54</f>
        <v>ICT expenses</v>
      </c>
      <c r="C54" s="500">
        <f>1-'Annex 3a - Water'!C54</f>
        <v>0.30000000000000004</v>
      </c>
      <c r="D54" s="506">
        <f>'Annex 3 Total O&amp;M'!C65*$C54</f>
        <v>0</v>
      </c>
      <c r="E54" s="507">
        <f t="shared" si="5"/>
        <v>0</v>
      </c>
      <c r="F54" s="508">
        <f>'Annex 3 Total O&amp;M'!E65*$C54</f>
        <v>0</v>
      </c>
      <c r="G54" s="507">
        <f t="shared" si="6"/>
        <v>0</v>
      </c>
      <c r="H54" s="508">
        <f>'Annex 3 Total O&amp;M'!G65*$C54</f>
        <v>0</v>
      </c>
      <c r="I54" s="507">
        <f t="shared" si="7"/>
        <v>0</v>
      </c>
      <c r="J54" s="538">
        <f>'Annex 3 Total O&amp;M'!I65*$C54</f>
        <v>458907.30000000005</v>
      </c>
      <c r="K54" s="506">
        <f>'Annex 3 Total O&amp;M'!K65*$C54</f>
        <v>468085.44600000011</v>
      </c>
      <c r="L54" s="506">
        <f>'Annex 3 Total O&amp;M'!M65*$C54</f>
        <v>477447.15492000012</v>
      </c>
      <c r="M54" s="506">
        <f>'Annex 3 Total O&amp;M'!O65*$C54</f>
        <v>486996.09801840008</v>
      </c>
      <c r="N54" s="506">
        <f>'Annex 3 Total O&amp;M'!Q65*$C54</f>
        <v>496736.01997876808</v>
      </c>
      <c r="O54" s="506">
        <f>'Annex 3 Total O&amp;M'!S65*$C54</f>
        <v>506670.7403783435</v>
      </c>
      <c r="R54" s="515"/>
      <c r="S54" s="515"/>
    </row>
    <row r="55" spans="1:19">
      <c r="A55" s="524"/>
      <c r="B55" s="573" t="str">
        <f>'Annex 3a - Water'!B55</f>
        <v>Office furniture</v>
      </c>
      <c r="C55" s="500">
        <f>1-'Annex 3a - Water'!C55</f>
        <v>0.30000000000000004</v>
      </c>
      <c r="D55" s="506">
        <f>'Annex 3 Total O&amp;M'!C66*$C55</f>
        <v>0</v>
      </c>
      <c r="E55" s="507">
        <f t="shared" si="5"/>
        <v>0</v>
      </c>
      <c r="F55" s="508">
        <f>'Annex 3 Total O&amp;M'!E66*$C55</f>
        <v>0</v>
      </c>
      <c r="G55" s="507">
        <f t="shared" si="6"/>
        <v>0</v>
      </c>
      <c r="H55" s="508">
        <f>'Annex 3 Total O&amp;M'!G66*$C55</f>
        <v>0</v>
      </c>
      <c r="I55" s="507">
        <f t="shared" si="7"/>
        <v>0</v>
      </c>
      <c r="J55" s="538">
        <f>'Annex 3 Total O&amp;M'!I66*$C55</f>
        <v>252638.70000000004</v>
      </c>
      <c r="K55" s="506">
        <f>'Annex 3 Total O&amp;M'!K66*$C55</f>
        <v>257691.47400000002</v>
      </c>
      <c r="L55" s="506">
        <f>'Annex 3 Total O&amp;M'!M66*$C55</f>
        <v>262845.30348</v>
      </c>
      <c r="M55" s="506">
        <f>'Annex 3 Total O&amp;M'!O66*$C55</f>
        <v>268102.20954960003</v>
      </c>
      <c r="N55" s="506">
        <f>'Annex 3 Total O&amp;M'!Q66*$C55</f>
        <v>273464.25374059204</v>
      </c>
      <c r="O55" s="506">
        <f>'Annex 3 Total O&amp;M'!S66*$C55</f>
        <v>278933.53881540388</v>
      </c>
      <c r="R55" s="515"/>
      <c r="S55" s="515"/>
    </row>
    <row r="56" spans="1:19">
      <c r="A56" s="524"/>
      <c r="B56" s="573" t="str">
        <f>'Annex 3a - Water'!B56</f>
        <v>Air Ticket</v>
      </c>
      <c r="C56" s="500">
        <f>1-'Annex 3a - Water'!C56</f>
        <v>0.30000000000000004</v>
      </c>
      <c r="D56" s="506">
        <f>'Annex 3 Total O&amp;M'!C67*$C56</f>
        <v>0</v>
      </c>
      <c r="E56" s="507">
        <f t="shared" si="5"/>
        <v>0</v>
      </c>
      <c r="F56" s="508">
        <f>'Annex 3 Total O&amp;M'!E67*$C56</f>
        <v>0</v>
      </c>
      <c r="G56" s="507">
        <f t="shared" si="6"/>
        <v>0</v>
      </c>
      <c r="H56" s="508">
        <f>'Annex 3 Total O&amp;M'!G67*$C56</f>
        <v>0</v>
      </c>
      <c r="I56" s="507">
        <f t="shared" si="7"/>
        <v>0</v>
      </c>
      <c r="J56" s="538">
        <f>'Annex 3 Total O&amp;M'!I67*$C56</f>
        <v>199331.10000000003</v>
      </c>
      <c r="K56" s="506">
        <f>'Annex 3 Total O&amp;M'!K67*$C56</f>
        <v>0</v>
      </c>
      <c r="L56" s="506">
        <f>'Annex 3 Total O&amp;M'!M67*$C56</f>
        <v>0</v>
      </c>
      <c r="M56" s="506">
        <f>'Annex 3 Total O&amp;M'!O67*$C56</f>
        <v>0</v>
      </c>
      <c r="N56" s="506">
        <f>'Annex 3 Total O&amp;M'!Q67*$C56</f>
        <v>0</v>
      </c>
      <c r="O56" s="506">
        <f>'Annex 3 Total O&amp;M'!S67*$C56</f>
        <v>0</v>
      </c>
      <c r="R56" s="515"/>
      <c r="S56" s="515"/>
    </row>
    <row r="57" spans="1:19" s="522" customFormat="1">
      <c r="A57" s="1469" t="s">
        <v>57</v>
      </c>
      <c r="B57" s="512" t="s">
        <v>470</v>
      </c>
      <c r="C57" s="517"/>
      <c r="D57" s="518">
        <f t="shared" ref="D57:O57" si="10">SUM(D37:D56)</f>
        <v>9038246.1000000015</v>
      </c>
      <c r="E57" s="519">
        <f t="shared" si="10"/>
        <v>0.17595499171283907</v>
      </c>
      <c r="F57" s="520">
        <f t="shared" si="10"/>
        <v>11383063.200000001</v>
      </c>
      <c r="G57" s="519">
        <f t="shared" si="10"/>
        <v>0.18172287743282067</v>
      </c>
      <c r="H57" s="520">
        <f t="shared" si="10"/>
        <v>8976738.6000000015</v>
      </c>
      <c r="I57" s="519">
        <f t="shared" si="10"/>
        <v>0.16164456396946766</v>
      </c>
      <c r="J57" s="521">
        <f t="shared" si="10"/>
        <v>12091303.800000001</v>
      </c>
      <c r="K57" s="518">
        <f t="shared" si="10"/>
        <v>12129812.154000003</v>
      </c>
      <c r="L57" s="518">
        <f t="shared" si="10"/>
        <v>12372408.397080002</v>
      </c>
      <c r="M57" s="518">
        <f t="shared" si="10"/>
        <v>12619856.565021604</v>
      </c>
      <c r="N57" s="518">
        <f>SUM(N37:N56)</f>
        <v>12872253.696322035</v>
      </c>
      <c r="O57" s="518">
        <f t="shared" si="10"/>
        <v>13129698.770248475</v>
      </c>
      <c r="R57" s="523">
        <f>F57/D57-1</f>
        <v>0.25943275653890407</v>
      </c>
      <c r="S57" s="523">
        <f>H57/F57-1</f>
        <v>-0.21139517173198152</v>
      </c>
    </row>
    <row r="58" spans="1:19">
      <c r="A58" s="527"/>
      <c r="B58" s="501"/>
      <c r="C58" s="528"/>
      <c r="D58" s="501"/>
      <c r="E58" s="501"/>
      <c r="F58" s="502"/>
      <c r="G58" s="501"/>
      <c r="H58" s="502"/>
      <c r="I58" s="501"/>
      <c r="J58" s="503"/>
      <c r="K58" s="501"/>
      <c r="L58" s="501"/>
      <c r="M58" s="501"/>
      <c r="N58" s="501"/>
      <c r="O58" s="501"/>
      <c r="R58" s="515"/>
      <c r="S58" s="515"/>
    </row>
    <row r="59" spans="1:19">
      <c r="A59" s="516"/>
      <c r="B59" s="512" t="s">
        <v>56</v>
      </c>
      <c r="C59" s="517"/>
      <c r="D59" s="501"/>
      <c r="E59" s="501"/>
      <c r="F59" s="502"/>
      <c r="G59" s="501"/>
      <c r="H59" s="502"/>
      <c r="I59" s="501"/>
      <c r="J59" s="503"/>
      <c r="K59" s="501"/>
      <c r="L59" s="501"/>
      <c r="M59" s="501"/>
      <c r="N59" s="501"/>
      <c r="O59" s="501"/>
      <c r="R59" s="515"/>
      <c r="S59" s="515"/>
    </row>
    <row r="60" spans="1:19">
      <c r="A60" s="516"/>
      <c r="B60" s="514" t="str">
        <f>'Annex 3a - Water'!B60</f>
        <v>Directors Emoluments</v>
      </c>
      <c r="C60" s="500">
        <f>1-'Annex 3a - Water'!C60</f>
        <v>0.30000000000000004</v>
      </c>
      <c r="D60" s="506">
        <f>'Annex 3 Total O&amp;M'!C71*$C60</f>
        <v>1224892.5000000002</v>
      </c>
      <c r="E60" s="507">
        <f>D60/$D$72</f>
        <v>2.384599260763863E-2</v>
      </c>
      <c r="F60" s="508">
        <f>'Annex 3 Total O&amp;M'!E71*$C60</f>
        <v>1000194.0000000001</v>
      </c>
      <c r="G60" s="507">
        <f>F60/$F$72</f>
        <v>1.5967418301871733E-2</v>
      </c>
      <c r="H60" s="508">
        <f>'Annex 3 Total O&amp;M'!G71*$C60</f>
        <v>787980.30000000016</v>
      </c>
      <c r="I60" s="507">
        <f>H60/$H$72</f>
        <v>1.41891991831009E-2</v>
      </c>
      <c r="J60" s="538">
        <f>'Annex 3 Total O&amp;M'!I71*$C60</f>
        <v>782055.00000000012</v>
      </c>
      <c r="K60" s="506">
        <f>'Annex 3 Total O&amp;M'!K71*$C60</f>
        <v>789875.55000000016</v>
      </c>
      <c r="L60" s="506">
        <f>'Annex 3 Total O&amp;M'!M71*$C60</f>
        <v>797774.30550000013</v>
      </c>
      <c r="M60" s="506">
        <f>'Annex 3 Total O&amp;M'!O71*$C60</f>
        <v>805752.04855500022</v>
      </c>
      <c r="N60" s="506">
        <f>'Annex 3 Total O&amp;M'!Q71*$C60</f>
        <v>813809.56904055027</v>
      </c>
      <c r="O60" s="506">
        <f>'Annex 3 Total O&amp;M'!S71*$C60</f>
        <v>821947.66473095573</v>
      </c>
      <c r="R60" s="515"/>
      <c r="S60" s="515"/>
    </row>
    <row r="61" spans="1:19">
      <c r="A61" s="524"/>
      <c r="B61" s="514" t="str">
        <f>'Annex 3a - Water'!B61</f>
        <v>Honoraria</v>
      </c>
      <c r="C61" s="500">
        <f>1-'Annex 3a - Water'!C61</f>
        <v>0.30000000000000004</v>
      </c>
      <c r="D61" s="506">
        <f>'Annex 3 Total O&amp;M'!C72*$C61</f>
        <v>306000.00000000006</v>
      </c>
      <c r="E61" s="507">
        <f>D61/$D$72</f>
        <v>5.9571543934977319E-3</v>
      </c>
      <c r="F61" s="508">
        <f>'Annex 3 Total O&amp;M'!E72*$C61</f>
        <v>204000.00000000003</v>
      </c>
      <c r="G61" s="507">
        <f>F61/$F$72</f>
        <v>3.2567215296050904E-3</v>
      </c>
      <c r="H61" s="508">
        <f>'Annex 3 Total O&amp;M'!G72*$C61</f>
        <v>181500.00000000003</v>
      </c>
      <c r="I61" s="507">
        <f>H61/$H$72</f>
        <v>3.2682792345605765E-3</v>
      </c>
      <c r="J61" s="538">
        <f>'Annex 3 Total O&amp;M'!I72*$C61</f>
        <v>198000.00000000003</v>
      </c>
      <c r="K61" s="506">
        <f>'Annex 3 Total O&amp;M'!K72*$C61</f>
        <v>199980.00000000003</v>
      </c>
      <c r="L61" s="506">
        <f>'Annex 3 Total O&amp;M'!M72*$C61</f>
        <v>201979.80000000002</v>
      </c>
      <c r="M61" s="506">
        <f>'Annex 3 Total O&amp;M'!O72*$C61</f>
        <v>203999.59800000003</v>
      </c>
      <c r="N61" s="506">
        <f>'Annex 3 Total O&amp;M'!Q72*$C61</f>
        <v>206039.59398000006</v>
      </c>
      <c r="O61" s="506">
        <f>'Annex 3 Total O&amp;M'!S72*$C61</f>
        <v>208099.98991980005</v>
      </c>
      <c r="R61" s="515">
        <f>F61/D61-1</f>
        <v>-0.33333333333333337</v>
      </c>
      <c r="S61" s="515">
        <f>H61/F61-1</f>
        <v>-0.11029411764705876</v>
      </c>
    </row>
    <row r="62" spans="1:19" s="522" customFormat="1">
      <c r="A62" s="516" t="s">
        <v>59</v>
      </c>
      <c r="B62" s="512" t="s">
        <v>58</v>
      </c>
      <c r="C62" s="517"/>
      <c r="D62" s="518">
        <f t="shared" ref="D62:O62" si="11">SUM(D60:D61)</f>
        <v>1530892.5000000002</v>
      </c>
      <c r="E62" s="519">
        <f t="shared" si="11"/>
        <v>2.9803147001136364E-2</v>
      </c>
      <c r="F62" s="520">
        <f t="shared" si="11"/>
        <v>1204194.0000000002</v>
      </c>
      <c r="G62" s="519">
        <f t="shared" si="11"/>
        <v>1.9224139831476823E-2</v>
      </c>
      <c r="H62" s="520">
        <f t="shared" si="11"/>
        <v>969480.30000000016</v>
      </c>
      <c r="I62" s="519">
        <f t="shared" si="11"/>
        <v>1.7457478417661477E-2</v>
      </c>
      <c r="J62" s="529">
        <f t="shared" si="11"/>
        <v>980055.00000000012</v>
      </c>
      <c r="K62" s="530">
        <f t="shared" si="11"/>
        <v>989855.55000000016</v>
      </c>
      <c r="L62" s="530">
        <f t="shared" si="11"/>
        <v>999754.10550000018</v>
      </c>
      <c r="M62" s="530">
        <f t="shared" si="11"/>
        <v>1009751.6465550002</v>
      </c>
      <c r="N62" s="530">
        <f t="shared" si="11"/>
        <v>1019849.1630205503</v>
      </c>
      <c r="O62" s="530">
        <f t="shared" si="11"/>
        <v>1030047.6546507558</v>
      </c>
      <c r="R62" s="515">
        <f>F62/D62-1</f>
        <v>-0.21340394573753541</v>
      </c>
      <c r="S62" s="515">
        <f>H62/F62-1</f>
        <v>-0.19491352722235789</v>
      </c>
    </row>
    <row r="63" spans="1:19">
      <c r="A63" s="524"/>
      <c r="B63" s="514"/>
      <c r="C63" s="525"/>
      <c r="D63" s="501"/>
      <c r="E63" s="501"/>
      <c r="F63" s="502"/>
      <c r="G63" s="501"/>
      <c r="H63" s="502"/>
      <c r="I63" s="501"/>
      <c r="J63" s="503"/>
      <c r="K63" s="501"/>
      <c r="L63" s="501"/>
      <c r="M63" s="501"/>
      <c r="N63" s="501"/>
      <c r="O63" s="501"/>
      <c r="R63" s="515"/>
      <c r="S63" s="515"/>
    </row>
    <row r="64" spans="1:19">
      <c r="A64" s="524"/>
      <c r="B64" s="279" t="s">
        <v>417</v>
      </c>
      <c r="C64" s="517"/>
      <c r="D64" s="501"/>
      <c r="E64" s="501"/>
      <c r="F64" s="502"/>
      <c r="G64" s="501"/>
      <c r="H64" s="502"/>
      <c r="I64" s="501"/>
      <c r="J64" s="503"/>
      <c r="K64" s="501"/>
      <c r="L64" s="501"/>
      <c r="M64" s="501"/>
      <c r="N64" s="501"/>
      <c r="O64" s="501"/>
      <c r="R64" s="515"/>
      <c r="S64" s="515"/>
    </row>
    <row r="65" spans="1:19">
      <c r="A65" s="527"/>
      <c r="B65" s="514" t="str">
        <f>'Annex 3a - Water'!B65</f>
        <v>License fee(WASREB)</v>
      </c>
      <c r="C65" s="500">
        <f>1-'Annex 3a - Water'!C65</f>
        <v>0.30000000000000004</v>
      </c>
      <c r="D65" s="506">
        <f>'Annex 3 Total O&amp;M'!C76*$C65</f>
        <v>30000.000000000004</v>
      </c>
      <c r="E65" s="507">
        <f>D65/$D$72</f>
        <v>5.8403474446056198E-4</v>
      </c>
      <c r="F65" s="508">
        <f>'Annex 3 Total O&amp;M'!E76*$C65</f>
        <v>2149620.9000000004</v>
      </c>
      <c r="G65" s="507">
        <f>F65/$F$72</f>
        <v>3.431723855646604E-2</v>
      </c>
      <c r="H65" s="508">
        <f>'Annex 3 Total O&amp;M'!G76*$C65</f>
        <v>2642064.0000000005</v>
      </c>
      <c r="I65" s="507">
        <f>H65/$H$72</f>
        <v>4.7575773595482394E-2</v>
      </c>
      <c r="J65" s="538">
        <f>'Annex 3 Total O&amp;M'!I76*$C65</f>
        <v>3018424.1554800007</v>
      </c>
      <c r="K65" s="506">
        <f>'Annex 3 Total O&amp;M'!K76*$C65</f>
        <v>5440856.1627241326</v>
      </c>
      <c r="L65" s="506">
        <f>'Annex 3 Total O&amp;M'!M76*$C65</f>
        <v>5473971.7427267218</v>
      </c>
      <c r="M65" s="506">
        <f>'Annex 3 Total O&amp;M'!O76*$C65</f>
        <v>5528711.4601539886</v>
      </c>
      <c r="N65" s="506">
        <f>'Annex 3 Total O&amp;M'!Q76*$C65</f>
        <v>5556706.0498447679</v>
      </c>
      <c r="O65" s="506">
        <f>'Annex 3 Total O&amp;M'!S76*$C65</f>
        <v>5639521.8002971467</v>
      </c>
      <c r="R65" s="515">
        <f>F65/D65-1</f>
        <v>70.654030000000006</v>
      </c>
      <c r="S65" s="515">
        <f>H65/F65-1</f>
        <v>0.22908369564140352</v>
      </c>
    </row>
    <row r="66" spans="1:19" s="522" customFormat="1">
      <c r="A66" s="531" t="s">
        <v>60</v>
      </c>
      <c r="B66" s="279" t="s">
        <v>351</v>
      </c>
      <c r="C66" s="517"/>
      <c r="D66" s="518">
        <f t="shared" ref="D66:O66" si="12">SUM(D65)</f>
        <v>30000.000000000004</v>
      </c>
      <c r="E66" s="519">
        <f t="shared" si="12"/>
        <v>5.8403474446056198E-4</v>
      </c>
      <c r="F66" s="520">
        <f>SUM(F65)</f>
        <v>2149620.9000000004</v>
      </c>
      <c r="G66" s="519">
        <f t="shared" si="12"/>
        <v>3.431723855646604E-2</v>
      </c>
      <c r="H66" s="520">
        <f t="shared" si="12"/>
        <v>2642064.0000000005</v>
      </c>
      <c r="I66" s="519">
        <f t="shared" si="12"/>
        <v>4.7575773595482394E-2</v>
      </c>
      <c r="J66" s="529">
        <f t="shared" si="12"/>
        <v>3018424.1554800007</v>
      </c>
      <c r="K66" s="530">
        <f t="shared" si="12"/>
        <v>5440856.1627241326</v>
      </c>
      <c r="L66" s="530">
        <f t="shared" si="12"/>
        <v>5473971.7427267218</v>
      </c>
      <c r="M66" s="530">
        <f t="shared" si="12"/>
        <v>5528711.4601539886</v>
      </c>
      <c r="N66" s="530">
        <f t="shared" si="12"/>
        <v>5556706.0498447679</v>
      </c>
      <c r="O66" s="530">
        <f t="shared" si="12"/>
        <v>5639521.8002971467</v>
      </c>
      <c r="R66" s="523">
        <f>F66/D66-1</f>
        <v>70.654030000000006</v>
      </c>
      <c r="S66" s="523">
        <f>H66/F66-1</f>
        <v>0.22908369564140352</v>
      </c>
    </row>
    <row r="67" spans="1:19">
      <c r="A67" s="527"/>
      <c r="B67" s="501"/>
      <c r="C67" s="528"/>
      <c r="D67" s="501"/>
      <c r="E67" s="501"/>
      <c r="F67" s="502"/>
      <c r="G67" s="501"/>
      <c r="H67" s="502"/>
      <c r="I67" s="501"/>
      <c r="J67" s="503"/>
      <c r="K67" s="501"/>
      <c r="L67" s="501">
        <v>2770000.0000000596</v>
      </c>
      <c r="M67" s="501"/>
      <c r="N67" s="501"/>
      <c r="O67" s="501"/>
      <c r="R67" s="515"/>
      <c r="S67" s="515"/>
    </row>
    <row r="68" spans="1:19">
      <c r="B68" s="512" t="s">
        <v>62</v>
      </c>
      <c r="C68" s="528"/>
      <c r="D68" s="501"/>
      <c r="E68" s="501"/>
      <c r="F68" s="502"/>
      <c r="G68" s="501"/>
      <c r="H68" s="502"/>
      <c r="I68" s="501"/>
      <c r="J68" s="503"/>
      <c r="K68" s="501"/>
      <c r="L68" s="501"/>
      <c r="M68" s="501"/>
      <c r="N68" s="501"/>
      <c r="O68" s="501"/>
      <c r="R68" s="515"/>
      <c r="S68" s="515"/>
    </row>
    <row r="69" spans="1:19">
      <c r="A69" s="516"/>
      <c r="B69" s="514">
        <f>'Annex 3a - Water'!B69</f>
        <v>0</v>
      </c>
      <c r="C69" s="500">
        <f>1-'Annex 3a - Water'!C69</f>
        <v>0.30000000000000004</v>
      </c>
      <c r="D69" s="506">
        <f>'Annex 3 Total O&amp;M'!C80*$C69</f>
        <v>0</v>
      </c>
      <c r="E69" s="507">
        <f>D69/$D$72</f>
        <v>0</v>
      </c>
      <c r="F69" s="526">
        <f>'Annex 3 Total O&amp;M'!E80*C69</f>
        <v>0</v>
      </c>
      <c r="G69" s="507">
        <f>F69/$F$72</f>
        <v>0</v>
      </c>
      <c r="H69" s="526">
        <f>'Annex 3 Total O&amp;M'!G80*C69</f>
        <v>0</v>
      </c>
      <c r="I69" s="507">
        <f>H69/$H$72</f>
        <v>0</v>
      </c>
      <c r="J69" s="509">
        <f>'Annex 3 Total O&amp;M'!I80*C69</f>
        <v>0</v>
      </c>
      <c r="K69" s="510">
        <f>'Annex 3 Total O&amp;M'!K80*C69</f>
        <v>0</v>
      </c>
      <c r="L69" s="510">
        <f>'Annex 3 Total O&amp;M'!M80*C69</f>
        <v>0</v>
      </c>
      <c r="M69" s="510">
        <f>'Annex 3 Total O&amp;M'!O80*C69</f>
        <v>0</v>
      </c>
      <c r="N69" s="510">
        <f>'Annex 3 Total O&amp;M'!Q80*C69</f>
        <v>0</v>
      </c>
      <c r="O69" s="510">
        <f>'Annex 3 Total O&amp;M'!S80*C69</f>
        <v>0</v>
      </c>
      <c r="R69" s="515" t="e">
        <f>F69/D69-1</f>
        <v>#DIV/0!</v>
      </c>
      <c r="S69" s="515" t="e">
        <f>H69/F69-1</f>
        <v>#DIV/0!</v>
      </c>
    </row>
    <row r="70" spans="1:19" s="522" customFormat="1">
      <c r="A70" s="516" t="s">
        <v>61</v>
      </c>
      <c r="B70" s="512" t="s">
        <v>352</v>
      </c>
      <c r="C70" s="533"/>
      <c r="D70" s="518">
        <f>SUM(D69:D69)</f>
        <v>0</v>
      </c>
      <c r="E70" s="519">
        <f t="shared" ref="E70:O70" si="13">SUM(E69:E69)</f>
        <v>0</v>
      </c>
      <c r="F70" s="520">
        <f t="shared" si="13"/>
        <v>0</v>
      </c>
      <c r="G70" s="519">
        <f t="shared" si="13"/>
        <v>0</v>
      </c>
      <c r="H70" s="520">
        <f t="shared" si="13"/>
        <v>0</v>
      </c>
      <c r="I70" s="519">
        <f t="shared" si="13"/>
        <v>0</v>
      </c>
      <c r="J70" s="529">
        <f t="shared" si="13"/>
        <v>0</v>
      </c>
      <c r="K70" s="530">
        <f t="shared" si="13"/>
        <v>0</v>
      </c>
      <c r="L70" s="530">
        <f t="shared" si="13"/>
        <v>0</v>
      </c>
      <c r="M70" s="530">
        <f t="shared" si="13"/>
        <v>0</v>
      </c>
      <c r="N70" s="530">
        <f t="shared" si="13"/>
        <v>0</v>
      </c>
      <c r="O70" s="530">
        <f t="shared" si="13"/>
        <v>0</v>
      </c>
      <c r="R70" s="523" t="e">
        <f>F70/D70-1</f>
        <v>#DIV/0!</v>
      </c>
      <c r="S70" s="523" t="e">
        <f>H70/F70-1</f>
        <v>#DIV/0!</v>
      </c>
    </row>
    <row r="71" spans="1:19">
      <c r="A71" s="527"/>
      <c r="B71" s="501"/>
      <c r="C71" s="528"/>
      <c r="D71" s="501"/>
      <c r="E71" s="501"/>
      <c r="F71" s="502"/>
      <c r="G71" s="501"/>
      <c r="H71" s="502"/>
      <c r="I71" s="501"/>
      <c r="J71" s="503"/>
      <c r="K71" s="501"/>
      <c r="L71" s="501"/>
      <c r="M71" s="501"/>
      <c r="N71" s="501"/>
      <c r="O71" s="501"/>
      <c r="R71" s="515"/>
      <c r="S71" s="515"/>
    </row>
    <row r="72" spans="1:19" s="522" customFormat="1">
      <c r="A72" s="516" t="s">
        <v>882</v>
      </c>
      <c r="B72" s="512" t="s">
        <v>888</v>
      </c>
      <c r="C72" s="533"/>
      <c r="D72" s="518">
        <f t="shared" ref="D72:O72" si="14">D5+D30+D35+D57+D62+D66+D70</f>
        <v>51366807</v>
      </c>
      <c r="E72" s="535">
        <f t="shared" si="14"/>
        <v>1.0000000000000002</v>
      </c>
      <c r="F72" s="518">
        <f t="shared" si="14"/>
        <v>62639681.70000001</v>
      </c>
      <c r="G72" s="535">
        <f t="shared" si="14"/>
        <v>1</v>
      </c>
      <c r="H72" s="518">
        <f t="shared" si="14"/>
        <v>55533810.600000001</v>
      </c>
      <c r="I72" s="535">
        <f t="shared" si="14"/>
        <v>1.0000000000000002</v>
      </c>
      <c r="J72" s="521">
        <f t="shared" si="14"/>
        <v>81648152.255480006</v>
      </c>
      <c r="K72" s="518">
        <f t="shared" si="14"/>
        <v>78446984.159724146</v>
      </c>
      <c r="L72" s="518">
        <f t="shared" si="14"/>
        <v>79548539.353696734</v>
      </c>
      <c r="M72" s="518">
        <f t="shared" si="14"/>
        <v>80946707.134113684</v>
      </c>
      <c r="N72" s="518">
        <f t="shared" si="14"/>
        <v>82343617.715161696</v>
      </c>
      <c r="O72" s="518">
        <f t="shared" si="14"/>
        <v>83827479.690462664</v>
      </c>
      <c r="R72" s="523">
        <f>F72/D72-1</f>
        <v>0.21945834982501466</v>
      </c>
      <c r="S72" s="523">
        <f>H72/F72-1</f>
        <v>-0.11344040881357176</v>
      </c>
    </row>
    <row r="73" spans="1:19">
      <c r="A73" s="527"/>
      <c r="B73" s="501"/>
      <c r="C73" s="528"/>
      <c r="D73" s="501"/>
      <c r="E73" s="501"/>
      <c r="F73" s="502"/>
      <c r="G73" s="501"/>
      <c r="H73" s="502"/>
      <c r="I73" s="501"/>
      <c r="J73" s="503"/>
      <c r="K73" s="501"/>
      <c r="L73" s="501"/>
      <c r="M73" s="501"/>
      <c r="N73" s="501"/>
      <c r="O73" s="501"/>
      <c r="R73" s="515"/>
    </row>
    <row r="74" spans="1:19">
      <c r="A74" s="498" t="s">
        <v>63</v>
      </c>
      <c r="B74" s="512"/>
      <c r="C74" s="528"/>
      <c r="D74" s="501"/>
      <c r="E74" s="501"/>
      <c r="F74" s="502"/>
      <c r="G74" s="501"/>
      <c r="H74" s="502"/>
      <c r="I74" s="501"/>
      <c r="J74" s="503"/>
      <c r="K74" s="501"/>
      <c r="L74" s="501"/>
      <c r="M74" s="501"/>
      <c r="N74" s="501"/>
      <c r="O74" s="501"/>
      <c r="R74" s="515"/>
    </row>
    <row r="75" spans="1:19">
      <c r="A75" s="1687"/>
      <c r="B75" s="488" t="str">
        <f>'Annex 3 Total O&amp;M'!B86</f>
        <v>To Increase water production and supply</v>
      </c>
      <c r="C75" s="528"/>
      <c r="D75" s="501"/>
      <c r="E75" s="501"/>
      <c r="F75" s="502"/>
      <c r="G75" s="501"/>
      <c r="H75" s="502"/>
      <c r="I75" s="1850">
        <v>0</v>
      </c>
      <c r="J75" s="1851">
        <f>'Annex 3 Total O&amp;M'!I86*I75</f>
        <v>0</v>
      </c>
      <c r="K75" s="506">
        <f>'Annex 3 Total O&amp;M'!K86*I75</f>
        <v>0</v>
      </c>
      <c r="L75" s="506">
        <f>'Annex 3 Total O&amp;M'!M85*I75</f>
        <v>0</v>
      </c>
      <c r="M75" s="506">
        <f>'Annex 3 Total O&amp;M'!O86*I75</f>
        <v>0</v>
      </c>
      <c r="N75" s="506">
        <f>'Annex 3 Total O&amp;M'!Q86*I75</f>
        <v>0</v>
      </c>
      <c r="O75" s="506">
        <f>'Annex 3 Total O&amp;M'!S86*I75</f>
        <v>0</v>
      </c>
      <c r="R75" s="515"/>
    </row>
    <row r="76" spans="1:19">
      <c r="A76" s="1687"/>
      <c r="B76" s="488" t="str">
        <f>'Annex 3 Total O&amp;M'!B87</f>
        <v>To increase sanitation coverage</v>
      </c>
      <c r="C76" s="528"/>
      <c r="D76" s="501"/>
      <c r="E76" s="501"/>
      <c r="F76" s="502"/>
      <c r="G76" s="501"/>
      <c r="H76" s="502"/>
      <c r="I76" s="1850">
        <v>0.7</v>
      </c>
      <c r="J76" s="538">
        <f>'Annex 3 Total O&amp;M'!I87*I76</f>
        <v>0</v>
      </c>
      <c r="K76" s="506">
        <f>'Annex 3 Total O&amp;M'!K87*I76</f>
        <v>350000</v>
      </c>
      <c r="L76" s="506">
        <f>'Annex 3 Total O&amp;M'!M86*I76</f>
        <v>1400000</v>
      </c>
      <c r="M76" s="506">
        <f>'Annex 3 Total O&amp;M'!O87*I76</f>
        <v>1050000</v>
      </c>
      <c r="N76" s="506">
        <f>'Annex 3 Total O&amp;M'!Q87*I76</f>
        <v>1400000</v>
      </c>
      <c r="O76" s="506">
        <f>'Annex 3 Total O&amp;M'!S87*I76</f>
        <v>5600000</v>
      </c>
      <c r="R76" s="515"/>
    </row>
    <row r="77" spans="1:19">
      <c r="A77" s="1687"/>
      <c r="B77" s="488" t="str">
        <f>'Annex 3 Total O&amp;M'!B88</f>
        <v>Reduce operational costs/ Solarization</v>
      </c>
      <c r="C77" s="528"/>
      <c r="D77" s="501"/>
      <c r="E77" s="501"/>
      <c r="F77" s="502"/>
      <c r="G77" s="501"/>
      <c r="H77" s="502"/>
      <c r="I77" s="1850">
        <v>0</v>
      </c>
      <c r="J77" s="1852">
        <f>'Annex 3 Total O&amp;M'!I88*I77</f>
        <v>0</v>
      </c>
      <c r="K77" s="506">
        <f>'Annex 3 Total O&amp;M'!K88*I77</f>
        <v>0</v>
      </c>
      <c r="L77" s="506">
        <f>'Annex 3 Total O&amp;M'!M87*I77</f>
        <v>0</v>
      </c>
      <c r="M77" s="506">
        <f>'Annex 3 Total O&amp;M'!O88*I77</f>
        <v>0</v>
      </c>
      <c r="N77" s="506">
        <f>'Annex 3 Total O&amp;M'!Q88*I77</f>
        <v>0</v>
      </c>
      <c r="O77" s="506">
        <f>'Annex 3 Total O&amp;M'!S88*I77</f>
        <v>0</v>
      </c>
      <c r="R77" s="515"/>
    </row>
    <row r="78" spans="1:19">
      <c r="A78" s="1687"/>
      <c r="B78" s="488" t="str">
        <f>'Annex 3 Total O&amp;M'!B89</f>
        <v>Reduction of NRW</v>
      </c>
      <c r="C78" s="528"/>
      <c r="D78" s="501"/>
      <c r="E78" s="501"/>
      <c r="F78" s="502"/>
      <c r="G78" s="501"/>
      <c r="H78" s="502"/>
      <c r="I78" s="1850">
        <v>0</v>
      </c>
      <c r="J78" s="538">
        <f>'Annex 3 Total O&amp;M'!I89*I78</f>
        <v>0</v>
      </c>
      <c r="K78" s="506">
        <f>'Annex 3 Total O&amp;M'!K89*I78</f>
        <v>0</v>
      </c>
      <c r="L78" s="506">
        <f>'Annex 3 Total O&amp;M'!M88*I78</f>
        <v>0</v>
      </c>
      <c r="M78" s="506">
        <f>'Annex 3 Total O&amp;M'!O89*I78</f>
        <v>0</v>
      </c>
      <c r="N78" s="506">
        <f>'Annex 3 Total O&amp;M'!Q89*I78</f>
        <v>0</v>
      </c>
      <c r="O78" s="506">
        <f>'Annex 3 Total O&amp;M'!S89*I78</f>
        <v>0</v>
      </c>
      <c r="R78" s="515"/>
    </row>
    <row r="79" spans="1:19">
      <c r="A79" s="527"/>
      <c r="B79" s="488" t="str">
        <f>'Annex 3 Total O&amp;M'!B90</f>
        <v>To enhance water quality and sewer effluent quality</v>
      </c>
      <c r="C79" s="500">
        <f>1-'Annex 3a - Water'!C81</f>
        <v>0.30000000000000004</v>
      </c>
      <c r="D79" s="501"/>
      <c r="E79" s="501"/>
      <c r="F79" s="526"/>
      <c r="G79" s="501"/>
      <c r="H79" s="526"/>
      <c r="I79" s="1850">
        <v>0.3</v>
      </c>
      <c r="J79" s="1853">
        <f>'Annex 3 Total O&amp;M'!I90*I79</f>
        <v>0</v>
      </c>
      <c r="K79" s="506">
        <f>'Annex 3 Total O&amp;M'!K90*I79</f>
        <v>150000</v>
      </c>
      <c r="L79" s="506">
        <f>'Annex 3 Total O&amp;M'!M89*I79</f>
        <v>2190000</v>
      </c>
      <c r="M79" s="506">
        <f>'Annex 3 Total O&amp;M'!O90*I79</f>
        <v>180000</v>
      </c>
      <c r="N79" s="506">
        <f>'Annex 3 Total O&amp;M'!Q90*I79</f>
        <v>240000</v>
      </c>
      <c r="O79" s="506">
        <f>'Annex 3 Total O&amp;M'!S90*I79</f>
        <v>300000</v>
      </c>
    </row>
    <row r="80" spans="1:19">
      <c r="A80" s="527"/>
      <c r="B80" s="279" t="s">
        <v>22</v>
      </c>
      <c r="C80" s="528"/>
      <c r="D80" s="501">
        <v>0</v>
      </c>
      <c r="E80" s="501"/>
      <c r="F80" s="520">
        <v>0</v>
      </c>
      <c r="G80" s="501"/>
      <c r="H80" s="520">
        <f>SUM(H79:H79)</f>
        <v>0</v>
      </c>
      <c r="I80" s="501"/>
      <c r="J80" s="521"/>
      <c r="K80" s="518">
        <f>SUM(K75:K79)</f>
        <v>500000</v>
      </c>
      <c r="L80" s="518">
        <f>SUM(L75:L79)</f>
        <v>3590000</v>
      </c>
      <c r="M80" s="518">
        <f>SUM(M75:M79)</f>
        <v>1230000</v>
      </c>
      <c r="N80" s="518">
        <f>SUM(N75:N79)</f>
        <v>1640000</v>
      </c>
      <c r="O80" s="518">
        <f>SUM(O76:O79)</f>
        <v>5900000</v>
      </c>
    </row>
    <row r="81" spans="1:15">
      <c r="A81" s="527"/>
      <c r="B81" s="501"/>
      <c r="C81" s="528"/>
      <c r="D81" s="501"/>
      <c r="E81" s="501"/>
      <c r="F81" s="502"/>
      <c r="G81" s="501"/>
      <c r="H81" s="502"/>
      <c r="I81" s="501"/>
      <c r="J81" s="503"/>
      <c r="K81" s="501"/>
      <c r="L81" s="501"/>
      <c r="M81" s="501"/>
      <c r="N81" s="501"/>
      <c r="O81" s="501"/>
    </row>
    <row r="82" spans="1:15">
      <c r="A82" s="498" t="s">
        <v>64</v>
      </c>
      <c r="B82" s="512"/>
      <c r="C82" s="528"/>
      <c r="D82" s="501"/>
      <c r="E82" s="501"/>
      <c r="F82" s="502"/>
      <c r="G82" s="501"/>
      <c r="H82" s="502"/>
      <c r="I82" s="501"/>
      <c r="J82" s="503"/>
      <c r="K82" s="501"/>
      <c r="L82" s="501"/>
      <c r="M82" s="501"/>
      <c r="N82" s="501"/>
      <c r="O82" s="506">
        <f>SUM(O75:O79)</f>
        <v>5900000</v>
      </c>
    </row>
    <row r="83" spans="1:15">
      <c r="A83" s="527"/>
      <c r="B83" s="514"/>
      <c r="C83" s="528"/>
      <c r="D83" s="501"/>
      <c r="E83" s="501"/>
      <c r="F83" s="502"/>
      <c r="G83" s="501"/>
      <c r="H83" s="502"/>
      <c r="I83" s="501"/>
      <c r="J83" s="503"/>
      <c r="K83" s="501"/>
      <c r="L83" s="501"/>
      <c r="M83" s="501"/>
      <c r="N83" s="501"/>
      <c r="O83" s="501"/>
    </row>
    <row r="84" spans="1:15">
      <c r="A84" s="527"/>
      <c r="B84" s="514"/>
      <c r="C84" s="528"/>
      <c r="D84" s="501"/>
      <c r="E84" s="501"/>
      <c r="F84" s="502"/>
      <c r="G84" s="501"/>
      <c r="H84" s="502"/>
      <c r="I84" s="501"/>
      <c r="J84" s="503"/>
      <c r="K84" s="501"/>
      <c r="L84" s="501"/>
      <c r="M84" s="501"/>
      <c r="N84" s="501"/>
      <c r="O84" s="501"/>
    </row>
    <row r="85" spans="1:15">
      <c r="A85" s="527"/>
      <c r="B85" s="512" t="s">
        <v>65</v>
      </c>
      <c r="C85" s="537">
        <f>1-'Annex 3a - Water'!C86</f>
        <v>0.30000000000000004</v>
      </c>
      <c r="D85" s="501">
        <v>0</v>
      </c>
      <c r="E85" s="501"/>
      <c r="F85" s="502">
        <v>0</v>
      </c>
      <c r="G85" s="501"/>
      <c r="H85" s="502">
        <v>0</v>
      </c>
      <c r="I85" s="501"/>
      <c r="J85" s="503"/>
      <c r="K85" s="510">
        <f>'Annex 3 Total O&amp;M'!K94*C85</f>
        <v>29960199.119520009</v>
      </c>
      <c r="L85" s="510">
        <f>'Annex 3 Total O&amp;M'!M94*C85</f>
        <v>59441150.531520002</v>
      </c>
      <c r="M85" s="510">
        <f>'Annex 3 Total O&amp;M'!O94*C85</f>
        <v>58961902.824000001</v>
      </c>
      <c r="N85" s="510">
        <f>'Annex 3 Total O&amp;M'!Q94*C85</f>
        <v>58482655.116480008</v>
      </c>
      <c r="O85" s="510">
        <f>'Annex 3 Total O&amp;M'!S94*C85</f>
        <v>58003407.408960015</v>
      </c>
    </row>
    <row r="86" spans="1:15">
      <c r="A86" s="527"/>
      <c r="B86" s="501"/>
      <c r="C86" s="528"/>
      <c r="D86" s="501"/>
      <c r="E86" s="501"/>
      <c r="F86" s="502"/>
      <c r="G86" s="501"/>
      <c r="H86" s="502"/>
      <c r="I86" s="501"/>
      <c r="J86" s="503"/>
      <c r="K86" s="501"/>
      <c r="L86" s="501"/>
      <c r="M86" s="501"/>
      <c r="N86" s="501"/>
      <c r="O86" s="501"/>
    </row>
    <row r="87" spans="1:15" s="522" customFormat="1">
      <c r="A87" s="498" t="s">
        <v>66</v>
      </c>
      <c r="B87" s="512"/>
      <c r="C87" s="533"/>
      <c r="D87" s="518">
        <f>D72+D80+D85</f>
        <v>51366807</v>
      </c>
      <c r="E87" s="279"/>
      <c r="F87" s="520">
        <f>F72+F80+F85</f>
        <v>62639681.70000001</v>
      </c>
      <c r="G87" s="279"/>
      <c r="H87" s="520">
        <f>H72+H80+H85</f>
        <v>55533810.600000001</v>
      </c>
      <c r="I87" s="279"/>
      <c r="J87" s="521">
        <f>J72+J80+J85</f>
        <v>81648152.255480006</v>
      </c>
      <c r="K87" s="518">
        <f>K72+K80+K85</f>
        <v>108907183.27924415</v>
      </c>
      <c r="L87" s="518">
        <f>L72+L80+L85-L67</f>
        <v>139809689.88521668</v>
      </c>
      <c r="M87" s="518">
        <f>M72+M80+M85</f>
        <v>141138609.95811367</v>
      </c>
      <c r="N87" s="518">
        <f>N72+N80+N85</f>
        <v>142466272.8316417</v>
      </c>
      <c r="O87" s="518">
        <f>O72+O80+O85</f>
        <v>147730887.09942269</v>
      </c>
    </row>
    <row r="88" spans="1:15">
      <c r="A88" s="527"/>
      <c r="B88" s="501"/>
      <c r="C88" s="528"/>
      <c r="D88" s="501"/>
      <c r="E88" s="501"/>
      <c r="F88" s="502"/>
      <c r="G88" s="501"/>
      <c r="H88" s="502"/>
      <c r="I88" s="501"/>
      <c r="J88" s="503"/>
      <c r="K88" s="501"/>
      <c r="L88" s="501"/>
      <c r="M88" s="501"/>
      <c r="N88" s="501"/>
      <c r="O88" s="501"/>
    </row>
    <row r="89" spans="1:15">
      <c r="A89" s="498" t="s">
        <v>67</v>
      </c>
      <c r="B89" s="512"/>
      <c r="C89" s="528"/>
      <c r="D89" s="501"/>
      <c r="E89" s="501"/>
      <c r="F89" s="502"/>
      <c r="G89" s="501"/>
      <c r="H89" s="502"/>
      <c r="I89" s="501"/>
      <c r="J89" s="503"/>
      <c r="K89" s="501"/>
      <c r="L89" s="501"/>
      <c r="M89" s="501"/>
      <c r="N89" s="501"/>
      <c r="O89" s="501"/>
    </row>
    <row r="90" spans="1:15">
      <c r="A90" s="527"/>
      <c r="B90" s="539"/>
      <c r="C90" s="539"/>
      <c r="D90" s="539"/>
      <c r="E90" s="539"/>
      <c r="F90" s="540"/>
      <c r="G90" s="539"/>
      <c r="H90" s="540"/>
      <c r="I90" s="539"/>
      <c r="J90" s="541"/>
      <c r="K90" s="539"/>
      <c r="L90" s="539"/>
      <c r="M90" s="539"/>
      <c r="N90" s="539"/>
      <c r="O90" s="539"/>
    </row>
    <row r="91" spans="1:15">
      <c r="A91" s="527"/>
      <c r="B91" s="539"/>
      <c r="C91" s="539"/>
      <c r="D91" s="539"/>
      <c r="E91" s="539"/>
      <c r="F91" s="540"/>
      <c r="G91" s="539"/>
      <c r="H91" s="540"/>
      <c r="I91" s="539"/>
      <c r="J91" s="541"/>
      <c r="K91" s="539"/>
      <c r="L91" s="539"/>
      <c r="M91" s="539"/>
      <c r="N91" s="539"/>
      <c r="O91" s="539"/>
    </row>
    <row r="92" spans="1:15">
      <c r="A92" s="527"/>
      <c r="B92" s="539"/>
      <c r="C92" s="539"/>
      <c r="D92" s="539"/>
      <c r="E92" s="539"/>
      <c r="F92" s="540"/>
      <c r="G92" s="539"/>
      <c r="H92" s="540"/>
      <c r="I92" s="539"/>
      <c r="J92" s="541"/>
      <c r="K92" s="539"/>
      <c r="L92" s="539"/>
      <c r="M92" s="539"/>
      <c r="N92" s="539"/>
      <c r="O92" s="539"/>
    </row>
    <row r="93" spans="1:15">
      <c r="A93" s="527"/>
      <c r="B93" s="539"/>
      <c r="C93" s="539"/>
      <c r="D93" s="539"/>
      <c r="E93" s="539"/>
      <c r="F93" s="540"/>
      <c r="G93" s="539"/>
      <c r="H93" s="540"/>
      <c r="I93" s="539"/>
      <c r="J93" s="541"/>
      <c r="K93" s="539"/>
      <c r="L93" s="539"/>
      <c r="M93" s="539"/>
      <c r="N93" s="539"/>
      <c r="O93" s="539"/>
    </row>
    <row r="94" spans="1:15">
      <c r="A94" s="513"/>
      <c r="B94" s="542" t="s">
        <v>68</v>
      </c>
      <c r="C94" s="543"/>
      <c r="D94" s="543"/>
      <c r="E94" s="543"/>
      <c r="F94" s="544"/>
      <c r="G94" s="545"/>
      <c r="H94" s="544"/>
      <c r="I94" s="539"/>
      <c r="J94" s="541"/>
      <c r="K94" s="539"/>
      <c r="L94" s="539"/>
      <c r="M94" s="539"/>
      <c r="N94" s="539"/>
      <c r="O94" s="539"/>
    </row>
    <row r="95" spans="1:15">
      <c r="A95" s="513"/>
      <c r="B95" s="543"/>
      <c r="C95" s="543"/>
      <c r="D95" s="543"/>
      <c r="E95" s="543"/>
      <c r="F95" s="544"/>
      <c r="G95" s="545"/>
      <c r="H95" s="544"/>
      <c r="I95" s="539"/>
      <c r="J95" s="541"/>
      <c r="K95" s="539"/>
      <c r="L95" s="539"/>
      <c r="M95" s="539"/>
      <c r="N95" s="539"/>
      <c r="O95" s="539"/>
    </row>
    <row r="96" spans="1:15">
      <c r="A96" s="546" t="s">
        <v>69</v>
      </c>
      <c r="B96" s="505"/>
      <c r="C96" s="547"/>
      <c r="D96" s="543"/>
      <c r="E96" s="543"/>
      <c r="F96" s="544"/>
      <c r="G96" s="545"/>
      <c r="H96" s="544"/>
      <c r="I96" s="539"/>
      <c r="J96" s="541"/>
      <c r="K96" s="539"/>
      <c r="L96" s="539"/>
      <c r="M96" s="539"/>
      <c r="N96" s="539"/>
      <c r="O96" s="539"/>
    </row>
    <row r="97" spans="1:15" ht="38.25">
      <c r="A97" s="513"/>
      <c r="B97" s="548" t="s">
        <v>70</v>
      </c>
      <c r="C97" s="549"/>
      <c r="D97" s="550" t="s">
        <v>71</v>
      </c>
      <c r="E97" s="550" t="s">
        <v>72</v>
      </c>
      <c r="F97" s="551" t="s">
        <v>73</v>
      </c>
      <c r="G97" s="552" t="s">
        <v>74</v>
      </c>
      <c r="H97" s="551" t="s">
        <v>75</v>
      </c>
      <c r="I97" s="539"/>
      <c r="J97" s="541"/>
      <c r="K97" s="539"/>
      <c r="L97" s="539"/>
      <c r="M97" s="539"/>
      <c r="N97" s="539"/>
      <c r="O97" s="539"/>
    </row>
    <row r="98" spans="1:15">
      <c r="A98" s="513"/>
      <c r="B98" s="553"/>
      <c r="C98" s="554"/>
      <c r="D98" s="555"/>
      <c r="E98" s="556"/>
      <c r="F98" s="557"/>
      <c r="G98" s="558"/>
      <c r="H98" s="557"/>
      <c r="I98" s="539"/>
      <c r="J98" s="541"/>
      <c r="K98" s="539"/>
      <c r="L98" s="539"/>
      <c r="M98" s="539"/>
      <c r="N98" s="539"/>
      <c r="O98" s="539"/>
    </row>
    <row r="99" spans="1:15">
      <c r="A99" s="513"/>
      <c r="B99" s="559"/>
      <c r="C99" s="560"/>
      <c r="D99" s="561"/>
      <c r="E99" s="562"/>
      <c r="F99" s="563"/>
      <c r="G99" s="564"/>
      <c r="H99" s="563"/>
      <c r="I99" s="539"/>
      <c r="J99" s="541"/>
      <c r="K99" s="539"/>
      <c r="L99" s="539"/>
      <c r="M99" s="539"/>
      <c r="N99" s="539"/>
      <c r="O99" s="539"/>
    </row>
    <row r="100" spans="1:15">
      <c r="A100" s="513"/>
      <c r="B100" s="543"/>
      <c r="C100" s="543"/>
      <c r="D100" s="512"/>
      <c r="E100" s="512"/>
      <c r="F100" s="532"/>
      <c r="G100" s="565"/>
      <c r="H100" s="532"/>
      <c r="I100" s="539"/>
      <c r="J100" s="541"/>
      <c r="K100" s="539"/>
      <c r="L100" s="539"/>
      <c r="M100" s="539"/>
      <c r="N100" s="539"/>
      <c r="O100" s="539"/>
    </row>
    <row r="101" spans="1:15" ht="13.5" thickBot="1">
      <c r="A101" s="566"/>
      <c r="B101" s="567"/>
      <c r="C101" s="567"/>
      <c r="D101" s="568"/>
      <c r="E101" s="568"/>
      <c r="F101" s="569"/>
      <c r="G101" s="570"/>
      <c r="H101" s="569"/>
      <c r="I101" s="572"/>
      <c r="J101" s="571"/>
      <c r="K101" s="572"/>
      <c r="L101" s="572"/>
      <c r="M101" s="572"/>
      <c r="N101" s="572"/>
      <c r="O101" s="572"/>
    </row>
    <row r="103" spans="1:15">
      <c r="D103" s="574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S39"/>
  <sheetViews>
    <sheetView topLeftCell="B19" workbookViewId="0">
      <selection activeCell="G32" sqref="G32"/>
    </sheetView>
  </sheetViews>
  <sheetFormatPr defaultRowHeight="15"/>
  <cols>
    <col min="3" max="3" width="20.85546875" customWidth="1"/>
    <col min="4" max="4" width="8.85546875" customWidth="1"/>
    <col min="5" max="5" width="14.85546875" customWidth="1"/>
    <col min="6" max="7" width="16.85546875" bestFit="1" customWidth="1"/>
    <col min="8" max="10" width="17.42578125" customWidth="1"/>
    <col min="11" max="11" width="17.28515625" customWidth="1"/>
    <col min="12" max="13" width="15.28515625" bestFit="1" customWidth="1"/>
    <col min="14" max="14" width="13.140625" customWidth="1"/>
    <col min="15" max="15" width="13" customWidth="1"/>
  </cols>
  <sheetData>
    <row r="1" spans="2:19" ht="15.75" thickBot="1"/>
    <row r="2" spans="2:19"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7"/>
    </row>
    <row r="3" spans="2:19">
      <c r="B3" s="58"/>
      <c r="S3" s="60"/>
    </row>
    <row r="4" spans="2:19">
      <c r="B4" s="58"/>
      <c r="C4" s="115" t="s">
        <v>84</v>
      </c>
      <c r="D4" s="115"/>
      <c r="E4" s="115"/>
      <c r="F4" s="115"/>
      <c r="G4" s="39" t="s">
        <v>604</v>
      </c>
      <c r="H4" s="236"/>
      <c r="S4" s="60"/>
    </row>
    <row r="5" spans="2:19">
      <c r="B5" s="58"/>
      <c r="C5" s="115"/>
      <c r="D5" s="115"/>
      <c r="E5" s="115"/>
      <c r="F5" s="115"/>
      <c r="G5" s="40"/>
      <c r="H5" s="113"/>
      <c r="S5" s="60"/>
    </row>
    <row r="6" spans="2:19">
      <c r="B6" s="58"/>
      <c r="C6" s="115" t="s">
        <v>85</v>
      </c>
      <c r="D6" s="115"/>
      <c r="E6" s="115" t="s">
        <v>589</v>
      </c>
      <c r="F6" s="115"/>
      <c r="G6" s="41" t="s">
        <v>582</v>
      </c>
      <c r="H6" s="113"/>
      <c r="S6" s="60"/>
    </row>
    <row r="7" spans="2:19">
      <c r="B7" s="58"/>
      <c r="C7" s="113"/>
      <c r="D7" s="113"/>
      <c r="E7" s="113" t="s">
        <v>590</v>
      </c>
      <c r="F7" s="113"/>
      <c r="G7" s="113"/>
      <c r="H7" s="42"/>
      <c r="S7" s="60"/>
    </row>
    <row r="8" spans="2:19">
      <c r="B8" s="58"/>
      <c r="C8" s="43"/>
      <c r="D8" s="44"/>
      <c r="E8" s="44"/>
      <c r="F8" s="44"/>
      <c r="G8" s="44"/>
      <c r="H8" s="45"/>
      <c r="I8" s="1688" t="s">
        <v>1011</v>
      </c>
      <c r="J8" s="1688"/>
      <c r="K8" s="1688"/>
      <c r="S8" s="60"/>
    </row>
    <row r="9" spans="2:19">
      <c r="B9" s="58"/>
      <c r="C9" s="46"/>
      <c r="D9" s="47"/>
      <c r="E9" s="241"/>
      <c r="F9" s="241"/>
      <c r="G9" s="1881"/>
      <c r="H9" s="1882"/>
      <c r="I9" s="1688" t="s">
        <v>1012</v>
      </c>
      <c r="J9" s="1688"/>
      <c r="K9" s="1688"/>
      <c r="S9" s="60"/>
    </row>
    <row r="10" spans="2:19">
      <c r="B10" s="58"/>
      <c r="C10" s="52"/>
      <c r="D10" s="53"/>
      <c r="E10" s="53"/>
      <c r="F10" s="53"/>
      <c r="G10" s="1883"/>
      <c r="H10" s="1883"/>
      <c r="I10" s="1688" t="s">
        <v>1013</v>
      </c>
      <c r="J10" s="1688"/>
      <c r="K10" s="1688"/>
      <c r="S10" s="60"/>
    </row>
    <row r="11" spans="2:19">
      <c r="B11" s="58"/>
      <c r="C11" s="48"/>
      <c r="D11" s="49"/>
      <c r="E11" s="49"/>
      <c r="F11" s="49"/>
      <c r="G11" s="1883"/>
      <c r="H11" s="1883"/>
      <c r="I11" s="1688" t="s">
        <v>1014</v>
      </c>
      <c r="J11" s="1688"/>
      <c r="K11" s="1688"/>
      <c r="S11" s="60"/>
    </row>
    <row r="12" spans="2:19">
      <c r="B12" s="58"/>
      <c r="C12" s="50"/>
      <c r="D12" s="51"/>
      <c r="E12" s="51"/>
      <c r="F12" s="51"/>
      <c r="G12" s="1883"/>
      <c r="H12" s="1883"/>
      <c r="I12" s="1688" t="s">
        <v>1015</v>
      </c>
      <c r="J12" s="1688"/>
      <c r="K12" s="1688"/>
      <c r="S12" s="60"/>
    </row>
    <row r="13" spans="2:19">
      <c r="B13" s="58"/>
      <c r="C13" s="113"/>
      <c r="D13" s="113"/>
      <c r="E13" s="113"/>
      <c r="F13" s="113"/>
      <c r="G13" s="113"/>
      <c r="H13" s="113"/>
      <c r="I13" s="1688" t="s">
        <v>1016</v>
      </c>
      <c r="J13" s="1688"/>
      <c r="K13" s="1688"/>
      <c r="S13" s="60"/>
    </row>
    <row r="14" spans="2:19">
      <c r="B14" s="58"/>
      <c r="C14" s="113"/>
      <c r="D14" s="113"/>
      <c r="E14" s="113"/>
      <c r="F14" s="113"/>
      <c r="G14" s="113"/>
      <c r="H14" s="113"/>
      <c r="S14" s="60"/>
    </row>
    <row r="15" spans="2:19">
      <c r="B15" s="58"/>
      <c r="C15" s="43" t="s">
        <v>88</v>
      </c>
      <c r="D15" s="44"/>
      <c r="E15" s="44"/>
      <c r="F15" s="44"/>
      <c r="G15" s="44"/>
      <c r="H15" s="45"/>
      <c r="S15" s="60"/>
    </row>
    <row r="16" spans="2:19">
      <c r="B16" s="58"/>
      <c r="C16" s="46" t="s">
        <v>86</v>
      </c>
      <c r="D16" s="47"/>
      <c r="E16" s="241"/>
      <c r="F16" s="241"/>
      <c r="G16" s="1884" t="s">
        <v>87</v>
      </c>
      <c r="H16" s="1882"/>
      <c r="I16" s="1614" t="s">
        <v>1009</v>
      </c>
      <c r="J16" s="1614"/>
      <c r="K16" s="1614"/>
      <c r="S16" s="60"/>
    </row>
    <row r="17" spans="2:19">
      <c r="B17" s="58"/>
      <c r="C17" s="52"/>
      <c r="D17" s="49"/>
      <c r="E17" s="61"/>
      <c r="F17" s="61"/>
      <c r="G17" s="1885"/>
      <c r="H17" s="1886"/>
      <c r="I17" s="1614" t="s">
        <v>1010</v>
      </c>
      <c r="J17" s="1614"/>
      <c r="K17" s="1614"/>
      <c r="S17" s="60"/>
    </row>
    <row r="18" spans="2:19">
      <c r="B18" s="58"/>
      <c r="C18" s="48"/>
      <c r="D18" s="49"/>
      <c r="E18" s="61"/>
      <c r="F18" s="61"/>
      <c r="G18" s="1885"/>
      <c r="H18" s="1886"/>
      <c r="S18" s="60"/>
    </row>
    <row r="19" spans="2:19">
      <c r="B19" s="58"/>
      <c r="C19" s="50"/>
      <c r="D19" s="51"/>
      <c r="E19" s="51"/>
      <c r="F19" s="51"/>
      <c r="G19" s="1887"/>
      <c r="H19" s="1887"/>
      <c r="I19" s="114"/>
      <c r="S19" s="60"/>
    </row>
    <row r="20" spans="2:19">
      <c r="B20" s="58"/>
      <c r="S20" s="60"/>
    </row>
    <row r="21" spans="2:19">
      <c r="B21" s="58"/>
      <c r="C21" s="235" t="s">
        <v>89</v>
      </c>
      <c r="D21" s="235"/>
      <c r="E21" s="235"/>
      <c r="F21" s="235"/>
      <c r="G21" s="235"/>
      <c r="H21" s="235"/>
      <c r="S21" s="60"/>
    </row>
    <row r="22" spans="2:19">
      <c r="B22" s="58"/>
      <c r="S22" s="60"/>
    </row>
    <row r="23" spans="2:19">
      <c r="B23" s="58"/>
      <c r="C23" s="1889"/>
      <c r="D23" s="1889"/>
      <c r="E23" s="273" t="s">
        <v>518</v>
      </c>
      <c r="F23" s="238" t="s">
        <v>519</v>
      </c>
      <c r="G23" s="238" t="s">
        <v>412</v>
      </c>
      <c r="H23" s="54" t="s">
        <v>413</v>
      </c>
      <c r="I23" s="54" t="s">
        <v>520</v>
      </c>
      <c r="J23" s="54" t="s">
        <v>521</v>
      </c>
      <c r="K23" s="54" t="s">
        <v>522</v>
      </c>
      <c r="L23" s="54" t="s">
        <v>523</v>
      </c>
      <c r="M23" s="54" t="s">
        <v>524</v>
      </c>
      <c r="Q23" s="60"/>
    </row>
    <row r="24" spans="2:19" s="1778" customFormat="1">
      <c r="B24" s="58"/>
      <c r="C24" s="1866" t="s">
        <v>1087</v>
      </c>
      <c r="D24" s="1868"/>
      <c r="E24" s="1774"/>
      <c r="F24" s="1774"/>
      <c r="G24" s="1774"/>
      <c r="H24" s="54"/>
      <c r="I24" s="54"/>
      <c r="J24" s="54"/>
      <c r="K24" s="54"/>
      <c r="L24" s="54"/>
      <c r="M24" s="54"/>
      <c r="Q24" s="60"/>
    </row>
    <row r="25" spans="2:19">
      <c r="B25" s="58"/>
      <c r="C25" s="1888" t="s">
        <v>423</v>
      </c>
      <c r="D25" s="1888"/>
      <c r="E25" s="309">
        <f>'7.Combined  Loan  Schedule '!L96</f>
        <v>46774768</v>
      </c>
      <c r="F25" s="309">
        <f>'7.Combined  Loan  Schedule '!M96</f>
        <v>46774768</v>
      </c>
      <c r="G25" s="309">
        <f>'7.Combined  Loan  Schedule '!N96</f>
        <v>46774768</v>
      </c>
      <c r="H25" s="309">
        <f>'7.Combined  Loan  Schedule '!O96</f>
        <v>46774768</v>
      </c>
      <c r="I25" s="309">
        <f>'7.Combined  Loan  Schedule '!P96</f>
        <v>46774768</v>
      </c>
      <c r="J25" s="309">
        <f>'7.Combined  Loan  Schedule '!Q96</f>
        <v>46774768</v>
      </c>
      <c r="K25" s="309">
        <f>'7.Combined  Loan  Schedule '!R96</f>
        <v>46774768</v>
      </c>
      <c r="L25" s="309">
        <f>'7.Combined  Loan  Schedule '!S96</f>
        <v>46774768</v>
      </c>
      <c r="M25" s="309">
        <f>'7.Combined  Loan  Schedule '!T96</f>
        <v>46774768</v>
      </c>
      <c r="O25" s="30"/>
      <c r="Q25" s="60"/>
    </row>
    <row r="26" spans="2:19">
      <c r="B26" s="58"/>
      <c r="C26" s="252" t="s">
        <v>422</v>
      </c>
      <c r="D26" s="252"/>
      <c r="E26" s="244">
        <f>'7.Combined  Loan  Schedule '!L95</f>
        <v>159349862.2304</v>
      </c>
      <c r="F26" s="244">
        <f>'7.Combined  Loan  Schedule '!M95</f>
        <v>157752369.87200001</v>
      </c>
      <c r="G26" s="244">
        <f>'7.Combined  Loan  Schedule '!N95</f>
        <v>156154877.51359999</v>
      </c>
      <c r="H26" s="244">
        <f>'7.Combined  Loan  Schedule '!O95</f>
        <v>154557385.1552</v>
      </c>
      <c r="I26" s="244">
        <f>'7.Combined  Loan  Schedule '!P95</f>
        <v>152959892.79680002</v>
      </c>
      <c r="J26" s="244">
        <f>'7.Combined  Loan  Schedule '!Q95</f>
        <v>151362400.43839997</v>
      </c>
      <c r="K26" s="244">
        <f>'7.Combined  Loan  Schedule '!R95</f>
        <v>149764908.07999998</v>
      </c>
      <c r="L26" s="244">
        <f>'7.Combined  Loan  Schedule '!S95</f>
        <v>148167415.7216</v>
      </c>
      <c r="M26" s="244">
        <f>'7.Combined  Loan  Schedule '!T95</f>
        <v>146569923.36320001</v>
      </c>
      <c r="Q26" s="60"/>
    </row>
    <row r="27" spans="2:19">
      <c r="B27" s="58"/>
      <c r="C27" s="1888" t="s">
        <v>90</v>
      </c>
      <c r="D27" s="1888"/>
      <c r="E27" s="244">
        <f>SUM(E25:E26)</f>
        <v>206124630.2304</v>
      </c>
      <c r="F27" s="244">
        <f t="shared" ref="F27:M27" si="0">SUM(F25:F26)</f>
        <v>204527137.87200001</v>
      </c>
      <c r="G27" s="244">
        <f t="shared" si="0"/>
        <v>202929645.51359999</v>
      </c>
      <c r="H27" s="244">
        <f t="shared" si="0"/>
        <v>201332153.1552</v>
      </c>
      <c r="I27" s="244">
        <f t="shared" si="0"/>
        <v>199734660.79680002</v>
      </c>
      <c r="J27" s="244">
        <f t="shared" si="0"/>
        <v>198137168.43839997</v>
      </c>
      <c r="K27" s="244">
        <f t="shared" si="0"/>
        <v>196539676.07999998</v>
      </c>
      <c r="L27" s="244">
        <f t="shared" si="0"/>
        <v>194942183.7216</v>
      </c>
      <c r="M27" s="244">
        <f t="shared" si="0"/>
        <v>193344691.36320001</v>
      </c>
      <c r="Q27" s="60"/>
    </row>
    <row r="28" spans="2:19">
      <c r="B28" s="58"/>
      <c r="S28" s="60"/>
    </row>
    <row r="29" spans="2:19" s="421" customFormat="1">
      <c r="B29" s="406"/>
      <c r="C29" s="421" t="s">
        <v>1117</v>
      </c>
      <c r="D29" s="1864">
        <v>0.5</v>
      </c>
      <c r="E29" s="1865">
        <f>E27*$D$29</f>
        <v>103062315.1152</v>
      </c>
      <c r="F29" s="1865">
        <f t="shared" ref="F29:M29" si="1">F27*$D$29</f>
        <v>102263568.936</v>
      </c>
      <c r="G29" s="1865">
        <f t="shared" si="1"/>
        <v>101464822.7568</v>
      </c>
      <c r="H29" s="1865">
        <f t="shared" si="1"/>
        <v>100666076.5776</v>
      </c>
      <c r="I29" s="1865">
        <f t="shared" si="1"/>
        <v>99867330.398400009</v>
      </c>
      <c r="J29" s="1865">
        <f t="shared" si="1"/>
        <v>99068584.219199985</v>
      </c>
      <c r="K29" s="1865">
        <f t="shared" si="1"/>
        <v>98269838.039999992</v>
      </c>
      <c r="L29" s="1865">
        <f t="shared" si="1"/>
        <v>97471091.860799998</v>
      </c>
      <c r="M29" s="1865">
        <f t="shared" si="1"/>
        <v>96672345.681600004</v>
      </c>
      <c r="S29" s="1858"/>
    </row>
    <row r="30" spans="2:19">
      <c r="B30" s="58"/>
      <c r="C30" s="234" t="s">
        <v>96</v>
      </c>
      <c r="S30" s="60"/>
    </row>
    <row r="31" spans="2:19">
      <c r="B31" s="58"/>
      <c r="S31" s="60"/>
    </row>
    <row r="32" spans="2:19">
      <c r="B32" s="58"/>
      <c r="C32" s="144" t="s">
        <v>97</v>
      </c>
      <c r="S32" s="60"/>
    </row>
    <row r="33" spans="2:19">
      <c r="B33" s="58"/>
      <c r="C33" s="1874" t="s">
        <v>1116</v>
      </c>
      <c r="D33" s="1869"/>
      <c r="E33" s="1869"/>
      <c r="F33" s="1869"/>
      <c r="G33" s="1869"/>
      <c r="H33" s="1869"/>
      <c r="I33" s="1869"/>
      <c r="J33" s="1869"/>
      <c r="K33" s="1869"/>
      <c r="L33" s="1869"/>
      <c r="M33" s="1869"/>
      <c r="N33" s="1869"/>
      <c r="O33" s="1870"/>
      <c r="S33" s="60"/>
    </row>
    <row r="34" spans="2:19">
      <c r="B34" s="58"/>
      <c r="C34" s="1875"/>
      <c r="D34" s="1876"/>
      <c r="E34" s="1876"/>
      <c r="F34" s="1876"/>
      <c r="G34" s="1876"/>
      <c r="H34" s="1876"/>
      <c r="I34" s="1876"/>
      <c r="J34" s="1876"/>
      <c r="K34" s="1876"/>
      <c r="L34" s="1876"/>
      <c r="M34" s="1876"/>
      <c r="N34" s="1876"/>
      <c r="O34" s="1877"/>
      <c r="S34" s="60"/>
    </row>
    <row r="35" spans="2:19">
      <c r="B35" s="58"/>
      <c r="C35" s="1875"/>
      <c r="D35" s="1876"/>
      <c r="E35" s="1876"/>
      <c r="F35" s="1876"/>
      <c r="G35" s="1876"/>
      <c r="H35" s="1876"/>
      <c r="I35" s="1876"/>
      <c r="J35" s="1876"/>
      <c r="K35" s="1876"/>
      <c r="L35" s="1876"/>
      <c r="M35" s="1876"/>
      <c r="N35" s="1876"/>
      <c r="O35" s="1877"/>
      <c r="S35" s="60"/>
    </row>
    <row r="36" spans="2:19">
      <c r="B36" s="58"/>
      <c r="C36" s="1878"/>
      <c r="D36" s="1879"/>
      <c r="E36" s="1879"/>
      <c r="F36" s="1879"/>
      <c r="G36" s="1879"/>
      <c r="H36" s="1879"/>
      <c r="I36" s="1879"/>
      <c r="J36" s="1879"/>
      <c r="K36" s="1879"/>
      <c r="L36" s="1879"/>
      <c r="M36" s="1879"/>
      <c r="N36" s="1879"/>
      <c r="O36" s="1880"/>
      <c r="S36" s="60"/>
    </row>
    <row r="37" spans="2:19">
      <c r="B37" s="58"/>
      <c r="S37" s="60"/>
    </row>
    <row r="38" spans="2:19">
      <c r="B38" s="58"/>
      <c r="S38" s="60"/>
    </row>
    <row r="39" spans="2:19" ht="15.75" thickBot="1"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5"/>
    </row>
  </sheetData>
  <mergeCells count="13">
    <mergeCell ref="C33:O36"/>
    <mergeCell ref="G9:H9"/>
    <mergeCell ref="G11:H11"/>
    <mergeCell ref="G16:H16"/>
    <mergeCell ref="G17:H17"/>
    <mergeCell ref="G18:H18"/>
    <mergeCell ref="G19:H19"/>
    <mergeCell ref="G10:H10"/>
    <mergeCell ref="G12:H12"/>
    <mergeCell ref="C25:D25"/>
    <mergeCell ref="C27:D27"/>
    <mergeCell ref="C23:D23"/>
    <mergeCell ref="C24:D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L61"/>
  <sheetViews>
    <sheetView workbookViewId="0">
      <selection activeCell="I6" sqref="I6"/>
    </sheetView>
  </sheetViews>
  <sheetFormatPr defaultRowHeight="15"/>
  <cols>
    <col min="5" max="5" width="12.42578125" customWidth="1"/>
    <col min="6" max="6" width="19.85546875" customWidth="1"/>
    <col min="7" max="7" width="16.28515625" customWidth="1"/>
    <col min="8" max="8" width="12.85546875" customWidth="1"/>
    <col min="11" max="11" width="14.5703125" customWidth="1"/>
  </cols>
  <sheetData>
    <row r="2" spans="2:12" ht="22.5">
      <c r="B2" s="35" t="s">
        <v>84</v>
      </c>
      <c r="C2" s="66"/>
      <c r="D2" s="67" t="s">
        <v>604</v>
      </c>
      <c r="E2" s="68"/>
      <c r="F2" s="68"/>
      <c r="G2" s="66"/>
      <c r="H2" s="69"/>
      <c r="I2" s="69"/>
      <c r="J2" s="69"/>
      <c r="K2" s="70" t="s">
        <v>68</v>
      </c>
      <c r="L2" s="71"/>
    </row>
    <row r="3" spans="2:12" ht="22.5">
      <c r="B3" s="108"/>
      <c r="C3" s="36"/>
      <c r="D3" s="72"/>
      <c r="E3" s="69"/>
      <c r="F3" s="69"/>
      <c r="G3" s="59"/>
      <c r="H3" s="59"/>
      <c r="I3" s="73"/>
      <c r="J3" s="59"/>
      <c r="K3" s="74" t="s">
        <v>98</v>
      </c>
      <c r="L3" s="75"/>
    </row>
    <row r="4" spans="2:12">
      <c r="B4" s="108" t="s">
        <v>85</v>
      </c>
      <c r="C4" s="36"/>
      <c r="D4" s="76" t="s">
        <v>582</v>
      </c>
      <c r="E4" s="59"/>
      <c r="F4" s="59"/>
      <c r="G4" s="59"/>
      <c r="H4" s="59"/>
      <c r="I4" s="73"/>
      <c r="J4" s="59"/>
      <c r="K4" s="77"/>
      <c r="L4" s="75"/>
    </row>
    <row r="5" spans="2:12">
      <c r="B5" s="31"/>
      <c r="C5" s="59"/>
      <c r="D5" s="59"/>
      <c r="E5" s="59"/>
      <c r="F5" s="59"/>
      <c r="G5" s="59"/>
      <c r="H5" s="59"/>
      <c r="I5" s="73"/>
      <c r="J5" s="59"/>
      <c r="K5" s="77"/>
      <c r="L5" s="75"/>
    </row>
    <row r="6" spans="2:12">
      <c r="B6" s="98"/>
      <c r="C6" s="109"/>
      <c r="D6" s="109"/>
      <c r="E6" s="109"/>
      <c r="F6" s="85" t="s">
        <v>99</v>
      </c>
      <c r="G6" s="86" t="s">
        <v>100</v>
      </c>
      <c r="H6" s="85" t="s">
        <v>101</v>
      </c>
      <c r="I6" s="73"/>
      <c r="J6" s="59"/>
      <c r="K6" s="77"/>
      <c r="L6" s="75"/>
    </row>
    <row r="7" spans="2:12">
      <c r="B7" s="98"/>
      <c r="C7" s="109"/>
      <c r="D7" s="109"/>
      <c r="E7" s="109"/>
      <c r="F7" s="87" t="s">
        <v>102</v>
      </c>
      <c r="G7" s="88"/>
      <c r="H7" s="87" t="s">
        <v>100</v>
      </c>
      <c r="I7" s="73"/>
      <c r="J7" s="59"/>
      <c r="K7" s="77"/>
      <c r="L7" s="75"/>
    </row>
    <row r="8" spans="2:12">
      <c r="B8" s="110" t="s">
        <v>103</v>
      </c>
      <c r="C8" s="33" t="s">
        <v>104</v>
      </c>
      <c r="D8" s="89"/>
      <c r="E8" s="89"/>
      <c r="F8" s="90"/>
      <c r="G8" s="90"/>
      <c r="H8" s="91"/>
      <c r="I8" s="73"/>
      <c r="J8" s="59"/>
      <c r="K8" s="26"/>
      <c r="L8" s="75"/>
    </row>
    <row r="9" spans="2:12">
      <c r="B9" s="98"/>
      <c r="C9" s="92" t="s">
        <v>105</v>
      </c>
      <c r="D9" s="93"/>
      <c r="E9" s="93"/>
      <c r="F9" s="93"/>
      <c r="G9" s="93"/>
      <c r="H9" s="94"/>
      <c r="I9" s="73"/>
      <c r="J9" s="59"/>
      <c r="K9" s="77"/>
      <c r="L9" s="75"/>
    </row>
    <row r="10" spans="2:12">
      <c r="B10" s="98"/>
      <c r="C10" s="1893"/>
      <c r="D10" s="1894"/>
      <c r="E10" s="1894"/>
      <c r="F10" s="1894"/>
      <c r="G10" s="1894"/>
      <c r="H10" s="1895"/>
      <c r="I10" s="73"/>
      <c r="J10" s="59"/>
      <c r="K10" s="77"/>
      <c r="L10" s="75"/>
    </row>
    <row r="11" spans="2:12">
      <c r="B11" s="98"/>
      <c r="C11" s="1896"/>
      <c r="D11" s="1897"/>
      <c r="E11" s="1897"/>
      <c r="F11" s="1897"/>
      <c r="G11" s="1897"/>
      <c r="H11" s="1898"/>
      <c r="I11" s="73"/>
      <c r="J11" s="59"/>
      <c r="K11" s="77"/>
      <c r="L11" s="75"/>
    </row>
    <row r="12" spans="2:12">
      <c r="B12" s="98"/>
      <c r="C12" s="1899"/>
      <c r="D12" s="1900"/>
      <c r="E12" s="1900"/>
      <c r="F12" s="1900"/>
      <c r="G12" s="1900"/>
      <c r="H12" s="1901"/>
      <c r="I12" s="73"/>
      <c r="J12" s="59"/>
      <c r="K12" s="77"/>
      <c r="L12" s="75"/>
    </row>
    <row r="13" spans="2:12">
      <c r="B13" s="98"/>
      <c r="C13" s="109"/>
      <c r="D13" s="109"/>
      <c r="E13" s="109"/>
      <c r="F13" s="109"/>
      <c r="G13" s="109"/>
      <c r="H13" s="109"/>
      <c r="I13" s="73"/>
      <c r="J13" s="59"/>
      <c r="K13" s="77"/>
      <c r="L13" s="75"/>
    </row>
    <row r="14" spans="2:12">
      <c r="B14" s="110" t="s">
        <v>106</v>
      </c>
      <c r="C14" s="1902" t="s">
        <v>107</v>
      </c>
      <c r="D14" s="1903"/>
      <c r="E14" s="1903"/>
      <c r="F14" s="1903"/>
      <c r="G14" s="1903"/>
      <c r="H14" s="1904"/>
      <c r="I14" s="73"/>
      <c r="J14" s="59"/>
      <c r="K14" s="26"/>
      <c r="L14" s="75"/>
    </row>
    <row r="15" spans="2:12">
      <c r="B15" s="98"/>
      <c r="C15" s="109"/>
      <c r="D15" s="109"/>
      <c r="E15" s="109"/>
      <c r="F15" s="109"/>
      <c r="G15" s="109"/>
      <c r="H15" s="109"/>
      <c r="I15" s="73"/>
      <c r="J15" s="59"/>
      <c r="K15" s="77"/>
      <c r="L15" s="75"/>
    </row>
    <row r="16" spans="2:12">
      <c r="B16" s="98"/>
      <c r="C16" s="109" t="s">
        <v>108</v>
      </c>
      <c r="D16" s="109"/>
      <c r="E16" s="109"/>
      <c r="F16" s="109"/>
      <c r="G16" s="109"/>
      <c r="H16" s="109"/>
      <c r="I16" s="73"/>
      <c r="J16" s="59"/>
      <c r="K16" s="77"/>
      <c r="L16" s="75"/>
    </row>
    <row r="17" spans="2:12">
      <c r="B17" s="98"/>
      <c r="C17" s="109"/>
      <c r="D17" s="109"/>
      <c r="E17" s="109"/>
      <c r="F17" s="109"/>
      <c r="G17" s="109"/>
      <c r="H17" s="109"/>
      <c r="I17" s="73"/>
      <c r="J17" s="59"/>
      <c r="K17" s="77"/>
      <c r="L17" s="75"/>
    </row>
    <row r="18" spans="2:12">
      <c r="B18" s="98"/>
      <c r="C18" s="95" t="s">
        <v>109</v>
      </c>
      <c r="D18" s="89"/>
      <c r="E18" s="89"/>
      <c r="F18" s="96" t="s">
        <v>110</v>
      </c>
      <c r="G18" s="96" t="s">
        <v>111</v>
      </c>
      <c r="H18" s="96" t="s">
        <v>112</v>
      </c>
      <c r="I18" s="73"/>
      <c r="J18" s="59"/>
      <c r="K18" s="77"/>
      <c r="L18" s="75"/>
    </row>
    <row r="19" spans="2:12">
      <c r="B19" s="98"/>
      <c r="C19" s="109"/>
      <c r="D19" s="109"/>
      <c r="E19" s="34" t="s">
        <v>113</v>
      </c>
      <c r="F19" s="97" t="s">
        <v>114</v>
      </c>
      <c r="G19" s="1905">
        <v>365</v>
      </c>
      <c r="H19" s="1908">
        <v>0</v>
      </c>
      <c r="I19" s="73"/>
      <c r="J19" s="59"/>
      <c r="K19" s="77"/>
      <c r="L19" s="75"/>
    </row>
    <row r="20" spans="2:12">
      <c r="B20" s="98"/>
      <c r="C20" s="109"/>
      <c r="D20" s="109"/>
      <c r="E20" s="98"/>
      <c r="F20" s="97" t="s">
        <v>115</v>
      </c>
      <c r="G20" s="1906"/>
      <c r="H20" s="1909"/>
      <c r="I20" s="73"/>
      <c r="J20" s="59"/>
      <c r="K20" s="77"/>
      <c r="L20" s="75"/>
    </row>
    <row r="21" spans="2:12">
      <c r="B21" s="98"/>
      <c r="C21" s="109"/>
      <c r="D21" s="109"/>
      <c r="E21" s="98"/>
      <c r="F21" s="97" t="s">
        <v>116</v>
      </c>
      <c r="G21" s="1906"/>
      <c r="H21" s="1909"/>
      <c r="I21" s="73"/>
      <c r="J21" s="59"/>
      <c r="K21" s="77"/>
      <c r="L21" s="75"/>
    </row>
    <row r="22" spans="2:12">
      <c r="B22" s="98"/>
      <c r="C22" s="109"/>
      <c r="D22" s="109"/>
      <c r="E22" s="98"/>
      <c r="F22" s="97" t="s">
        <v>117</v>
      </c>
      <c r="G22" s="1906"/>
      <c r="H22" s="1909"/>
      <c r="I22" s="73"/>
      <c r="J22" s="59"/>
      <c r="K22" s="77"/>
      <c r="L22" s="75"/>
    </row>
    <row r="23" spans="2:12">
      <c r="B23" s="98"/>
      <c r="C23" s="109"/>
      <c r="D23" s="109"/>
      <c r="E23" s="98"/>
      <c r="F23" s="97" t="s">
        <v>118</v>
      </c>
      <c r="G23" s="1906"/>
      <c r="H23" s="1909"/>
      <c r="I23" s="73"/>
      <c r="J23" s="59"/>
      <c r="K23" s="77"/>
      <c r="L23" s="75"/>
    </row>
    <row r="24" spans="2:12">
      <c r="B24" s="98"/>
      <c r="C24" s="109"/>
      <c r="D24" s="109"/>
      <c r="E24" s="99"/>
      <c r="F24" s="97" t="s">
        <v>119</v>
      </c>
      <c r="G24" s="1907"/>
      <c r="H24" s="1910"/>
      <c r="I24" s="73"/>
      <c r="J24" s="59"/>
      <c r="K24" s="77"/>
      <c r="L24" s="75"/>
    </row>
    <row r="25" spans="2:12" ht="22.9" customHeight="1">
      <c r="B25" s="98"/>
      <c r="C25" s="109"/>
      <c r="D25" s="109"/>
      <c r="E25" s="100" t="s">
        <v>120</v>
      </c>
      <c r="F25" s="38" t="s">
        <v>121</v>
      </c>
      <c r="G25" s="38" t="s">
        <v>122</v>
      </c>
      <c r="H25" s="1908">
        <v>0</v>
      </c>
      <c r="I25" s="73"/>
      <c r="J25" s="59"/>
      <c r="K25" s="77"/>
      <c r="L25" s="75"/>
    </row>
    <row r="26" spans="2:12" ht="19.149999999999999" customHeight="1">
      <c r="B26" s="98"/>
      <c r="C26" s="109"/>
      <c r="D26" s="109"/>
      <c r="E26" s="101"/>
      <c r="F26" s="38" t="s">
        <v>123</v>
      </c>
      <c r="G26" s="38" t="s">
        <v>124</v>
      </c>
      <c r="H26" s="1910"/>
      <c r="I26" s="73"/>
      <c r="J26" s="59"/>
      <c r="K26" s="77"/>
      <c r="L26" s="75"/>
    </row>
    <row r="27" spans="2:12">
      <c r="B27" s="98"/>
      <c r="C27" s="109"/>
      <c r="D27" s="109"/>
      <c r="E27" s="37"/>
      <c r="F27" s="109"/>
      <c r="G27" s="109"/>
      <c r="H27" s="109"/>
      <c r="I27" s="73"/>
      <c r="J27" s="59"/>
      <c r="K27" s="77"/>
      <c r="L27" s="75"/>
    </row>
    <row r="28" spans="2:12">
      <c r="B28" s="98"/>
      <c r="C28" s="109"/>
      <c r="D28" s="109"/>
      <c r="E28" s="37"/>
      <c r="F28" s="109"/>
      <c r="G28" s="109"/>
      <c r="H28" s="109"/>
      <c r="I28" s="73"/>
      <c r="J28" s="59"/>
      <c r="K28" s="77"/>
      <c r="L28" s="75"/>
    </row>
    <row r="29" spans="2:12">
      <c r="B29" s="98"/>
      <c r="C29" s="109"/>
      <c r="D29" s="109"/>
      <c r="E29" s="109"/>
      <c r="F29" s="109"/>
      <c r="G29" s="109"/>
      <c r="H29" s="109"/>
      <c r="I29" s="73"/>
      <c r="J29" s="59"/>
      <c r="K29" s="77"/>
      <c r="L29" s="75"/>
    </row>
    <row r="30" spans="2:12">
      <c r="B30" s="98"/>
      <c r="C30" s="109" t="s">
        <v>125</v>
      </c>
      <c r="D30" s="109"/>
      <c r="E30" s="109"/>
      <c r="F30" s="109"/>
      <c r="G30" s="109"/>
      <c r="H30" s="109"/>
      <c r="I30" s="73"/>
      <c r="J30" s="59"/>
      <c r="K30" s="77"/>
      <c r="L30" s="75"/>
    </row>
    <row r="31" spans="2:12">
      <c r="B31" s="98"/>
      <c r="C31" s="109"/>
      <c r="D31" s="109"/>
      <c r="E31" s="109"/>
      <c r="F31" s="109"/>
      <c r="G31" s="109"/>
      <c r="H31" s="109"/>
      <c r="I31" s="73"/>
      <c r="J31" s="59"/>
      <c r="K31" s="77"/>
      <c r="L31" s="75"/>
    </row>
    <row r="32" spans="2:12">
      <c r="B32" s="98"/>
      <c r="C32" s="109"/>
      <c r="D32" s="109"/>
      <c r="E32" s="109"/>
      <c r="F32" s="85" t="s">
        <v>102</v>
      </c>
      <c r="G32" s="86"/>
      <c r="H32" s="86"/>
      <c r="I32" s="73"/>
      <c r="J32" s="59"/>
      <c r="K32" s="77"/>
      <c r="L32" s="75"/>
    </row>
    <row r="33" spans="2:12">
      <c r="B33" s="98"/>
      <c r="C33" s="109"/>
      <c r="D33" s="109"/>
      <c r="E33" s="109"/>
      <c r="F33" s="87" t="s">
        <v>126</v>
      </c>
      <c r="G33" s="88" t="s">
        <v>100</v>
      </c>
      <c r="H33" s="88" t="s">
        <v>112</v>
      </c>
      <c r="I33" s="73"/>
      <c r="J33" s="59"/>
      <c r="K33" s="77"/>
      <c r="L33" s="75"/>
    </row>
    <row r="34" spans="2:12">
      <c r="B34" s="98"/>
      <c r="C34" s="97" t="s">
        <v>127</v>
      </c>
      <c r="D34" s="89"/>
      <c r="E34" s="89"/>
      <c r="F34" s="102" t="s">
        <v>128</v>
      </c>
      <c r="G34" s="91">
        <v>1</v>
      </c>
      <c r="H34" s="103" t="s">
        <v>129</v>
      </c>
      <c r="I34" s="73"/>
      <c r="J34" s="59"/>
      <c r="K34" s="77"/>
      <c r="L34" s="75"/>
    </row>
    <row r="35" spans="2:12">
      <c r="B35" s="98"/>
      <c r="C35" s="109"/>
      <c r="D35" s="109"/>
      <c r="E35" s="109"/>
      <c r="F35" s="109"/>
      <c r="G35" s="109"/>
      <c r="H35" s="109"/>
      <c r="I35" s="73"/>
      <c r="J35" s="59"/>
      <c r="K35" s="77"/>
      <c r="L35" s="75"/>
    </row>
    <row r="36" spans="2:12">
      <c r="B36" s="110" t="s">
        <v>130</v>
      </c>
      <c r="C36" s="1890" t="s">
        <v>131</v>
      </c>
      <c r="D36" s="1891"/>
      <c r="E36" s="1891"/>
      <c r="F36" s="1891"/>
      <c r="G36" s="1891"/>
      <c r="H36" s="1892"/>
      <c r="I36" s="73"/>
      <c r="J36" s="59"/>
      <c r="K36" s="26"/>
      <c r="L36" s="75"/>
    </row>
    <row r="37" spans="2:12">
      <c r="B37" s="98"/>
      <c r="C37" s="109"/>
      <c r="D37" s="109"/>
      <c r="E37" s="109"/>
      <c r="F37" s="109"/>
      <c r="G37" s="109"/>
      <c r="H37" s="109"/>
      <c r="I37" s="73"/>
      <c r="J37" s="59"/>
      <c r="K37" s="77"/>
      <c r="L37" s="75"/>
    </row>
    <row r="38" spans="2:12">
      <c r="B38" s="98"/>
      <c r="C38" s="97" t="s">
        <v>132</v>
      </c>
      <c r="D38" s="89"/>
      <c r="E38" s="89"/>
      <c r="F38" s="38" t="s">
        <v>133</v>
      </c>
      <c r="G38" s="38" t="s">
        <v>111</v>
      </c>
      <c r="H38" s="104" t="s">
        <v>112</v>
      </c>
      <c r="I38" s="73"/>
      <c r="J38" s="59"/>
      <c r="K38" s="77"/>
      <c r="L38" s="75"/>
    </row>
    <row r="39" spans="2:12">
      <c r="B39" s="98"/>
      <c r="C39" s="109"/>
      <c r="D39" s="109"/>
      <c r="E39" s="32" t="s">
        <v>113</v>
      </c>
      <c r="F39" s="38" t="s">
        <v>134</v>
      </c>
      <c r="G39" s="1905">
        <v>36</v>
      </c>
      <c r="H39" s="1908">
        <v>0.35</v>
      </c>
      <c r="I39" s="73"/>
      <c r="J39" s="59"/>
      <c r="K39" s="77"/>
      <c r="L39" s="75"/>
    </row>
    <row r="40" spans="2:12">
      <c r="B40" s="98"/>
      <c r="C40" s="109"/>
      <c r="D40" s="109"/>
      <c r="E40" s="105"/>
      <c r="F40" s="38" t="s">
        <v>135</v>
      </c>
      <c r="G40" s="1907"/>
      <c r="H40" s="1910"/>
      <c r="I40" s="73"/>
      <c r="J40" s="59"/>
      <c r="K40" s="77"/>
      <c r="L40" s="75"/>
    </row>
    <row r="41" spans="2:12">
      <c r="B41" s="98"/>
      <c r="C41" s="109"/>
      <c r="D41" s="109"/>
      <c r="E41" s="38" t="s">
        <v>136</v>
      </c>
      <c r="F41" s="105" t="s">
        <v>137</v>
      </c>
      <c r="G41" s="106">
        <v>3</v>
      </c>
      <c r="H41" s="107">
        <v>-0.25</v>
      </c>
      <c r="I41" s="73"/>
      <c r="J41" s="59"/>
      <c r="K41" s="77"/>
      <c r="L41" s="75"/>
    </row>
    <row r="42" spans="2:12">
      <c r="B42" s="98"/>
      <c r="C42" s="109"/>
      <c r="D42" s="109"/>
      <c r="E42" s="37"/>
      <c r="F42" s="37"/>
      <c r="G42" s="109"/>
      <c r="H42" s="109"/>
      <c r="I42" s="73"/>
      <c r="J42" s="59"/>
      <c r="K42" s="77"/>
      <c r="L42" s="75"/>
    </row>
    <row r="43" spans="2:12">
      <c r="B43" s="98"/>
      <c r="C43" s="109"/>
      <c r="D43" s="109"/>
      <c r="E43" s="109"/>
      <c r="F43" s="109"/>
      <c r="G43" s="109"/>
      <c r="H43" s="109"/>
      <c r="I43" s="73"/>
      <c r="J43" s="59"/>
      <c r="K43" s="77"/>
      <c r="L43" s="75"/>
    </row>
    <row r="44" spans="2:12">
      <c r="B44" s="110" t="s">
        <v>138</v>
      </c>
      <c r="C44" s="1902" t="s">
        <v>139</v>
      </c>
      <c r="D44" s="1903"/>
      <c r="E44" s="1903"/>
      <c r="F44" s="1903"/>
      <c r="G44" s="1903"/>
      <c r="H44" s="1904"/>
      <c r="I44" s="73"/>
      <c r="J44" s="59"/>
      <c r="K44" s="26"/>
      <c r="L44" s="75"/>
    </row>
    <row r="45" spans="2:12">
      <c r="B45" s="98"/>
      <c r="C45" s="109"/>
      <c r="D45" s="109"/>
      <c r="E45" s="109"/>
      <c r="F45" s="109"/>
      <c r="G45" s="109"/>
      <c r="H45" s="109"/>
      <c r="I45" s="73"/>
      <c r="J45" s="59"/>
      <c r="K45" s="77"/>
      <c r="L45" s="75"/>
    </row>
    <row r="46" spans="2:12">
      <c r="B46" s="98"/>
      <c r="C46" s="109"/>
      <c r="D46" s="109"/>
      <c r="E46" s="109"/>
      <c r="F46" s="85" t="s">
        <v>140</v>
      </c>
      <c r="G46" s="86"/>
      <c r="H46" s="86"/>
      <c r="I46" s="73"/>
      <c r="J46" s="59"/>
      <c r="K46" s="77"/>
      <c r="L46" s="75"/>
    </row>
    <row r="47" spans="2:12">
      <c r="B47" s="98"/>
      <c r="C47" s="109"/>
      <c r="D47" s="109"/>
      <c r="E47" s="109"/>
      <c r="F47" s="87" t="s">
        <v>126</v>
      </c>
      <c r="G47" s="88" t="s">
        <v>100</v>
      </c>
      <c r="H47" s="88" t="s">
        <v>112</v>
      </c>
      <c r="I47" s="73"/>
      <c r="J47" s="59"/>
      <c r="K47" s="77"/>
      <c r="L47" s="75"/>
    </row>
    <row r="48" spans="2:12">
      <c r="B48" s="98"/>
      <c r="C48" s="95" t="s">
        <v>139</v>
      </c>
      <c r="D48" s="89"/>
      <c r="E48" s="89"/>
      <c r="F48" s="90"/>
      <c r="G48" s="90"/>
      <c r="H48" s="90"/>
      <c r="I48" s="73"/>
      <c r="J48" s="59"/>
      <c r="K48" s="77"/>
      <c r="L48" s="75"/>
    </row>
    <row r="49" spans="2:12">
      <c r="B49" s="98"/>
      <c r="C49" s="109"/>
      <c r="D49" s="109"/>
      <c r="E49" s="109"/>
      <c r="F49" s="109"/>
      <c r="G49" s="109"/>
      <c r="H49" s="109"/>
      <c r="I49" s="73"/>
      <c r="J49" s="59"/>
      <c r="K49" s="77"/>
      <c r="L49" s="75"/>
    </row>
    <row r="50" spans="2:12">
      <c r="B50" s="98"/>
      <c r="C50" s="109"/>
      <c r="D50" s="109"/>
      <c r="E50" s="109"/>
      <c r="F50" s="109"/>
      <c r="G50" s="109"/>
      <c r="H50" s="109"/>
      <c r="I50" s="73"/>
      <c r="J50" s="59"/>
      <c r="K50" s="77"/>
      <c r="L50" s="75"/>
    </row>
    <row r="51" spans="2:12">
      <c r="B51" s="98"/>
      <c r="C51" s="109"/>
      <c r="D51" s="109"/>
      <c r="E51" s="109"/>
      <c r="F51" s="109"/>
      <c r="G51" s="109"/>
      <c r="H51" s="109"/>
      <c r="I51" s="73"/>
      <c r="J51" s="59"/>
      <c r="K51" s="77"/>
      <c r="L51" s="75"/>
    </row>
    <row r="52" spans="2:12">
      <c r="B52" s="110" t="s">
        <v>141</v>
      </c>
      <c r="C52" s="1902" t="s">
        <v>142</v>
      </c>
      <c r="D52" s="1911"/>
      <c r="E52" s="1911"/>
      <c r="F52" s="1911"/>
      <c r="G52" s="1911"/>
      <c r="H52" s="1912"/>
      <c r="I52" s="73"/>
      <c r="J52" s="59"/>
      <c r="K52" s="26"/>
      <c r="L52" s="75"/>
    </row>
    <row r="53" spans="2:12">
      <c r="B53" s="98"/>
      <c r="C53" s="109"/>
      <c r="D53" s="109"/>
      <c r="E53" s="109"/>
      <c r="F53" s="109"/>
      <c r="G53" s="109"/>
      <c r="H53" s="109"/>
      <c r="I53" s="73"/>
      <c r="J53" s="59"/>
      <c r="K53" s="77"/>
      <c r="L53" s="75"/>
    </row>
    <row r="54" spans="2:12">
      <c r="B54" s="98"/>
      <c r="C54" s="81"/>
      <c r="D54" s="1894"/>
      <c r="E54" s="1894"/>
      <c r="F54" s="1894"/>
      <c r="G54" s="1894"/>
      <c r="H54" s="1895"/>
      <c r="I54" s="73"/>
      <c r="J54" s="59"/>
      <c r="K54" s="77"/>
      <c r="L54" s="75"/>
    </row>
    <row r="55" spans="2:12">
      <c r="B55" s="98"/>
      <c r="C55" s="1913"/>
      <c r="D55" s="1914"/>
      <c r="E55" s="1914"/>
      <c r="F55" s="1914"/>
      <c r="G55" s="1914"/>
      <c r="H55" s="1915"/>
      <c r="I55" s="73"/>
      <c r="J55" s="59"/>
      <c r="K55" s="77"/>
      <c r="L55" s="75"/>
    </row>
    <row r="56" spans="2:12">
      <c r="B56" s="98"/>
      <c r="C56" s="1913"/>
      <c r="D56" s="1914"/>
      <c r="E56" s="1914"/>
      <c r="F56" s="1914"/>
      <c r="G56" s="1914"/>
      <c r="H56" s="1915"/>
      <c r="I56" s="73"/>
      <c r="J56" s="59"/>
      <c r="K56" s="77"/>
      <c r="L56" s="75"/>
    </row>
    <row r="57" spans="2:12">
      <c r="B57" s="98"/>
      <c r="C57" s="1913"/>
      <c r="D57" s="1914"/>
      <c r="E57" s="1914"/>
      <c r="F57" s="1914"/>
      <c r="G57" s="1914"/>
      <c r="H57" s="1915"/>
      <c r="I57" s="73"/>
      <c r="J57" s="59"/>
      <c r="K57" s="77"/>
      <c r="L57" s="75"/>
    </row>
    <row r="58" spans="2:12">
      <c r="B58" s="98"/>
      <c r="C58" s="1913"/>
      <c r="D58" s="1914"/>
      <c r="E58" s="1914"/>
      <c r="F58" s="1914"/>
      <c r="G58" s="1914"/>
      <c r="H58" s="1915"/>
      <c r="I58" s="73"/>
      <c r="J58" s="59"/>
      <c r="K58" s="77"/>
      <c r="L58" s="75"/>
    </row>
    <row r="59" spans="2:12">
      <c r="B59" s="98"/>
      <c r="C59" s="1913"/>
      <c r="D59" s="1914"/>
      <c r="E59" s="1914"/>
      <c r="F59" s="1914"/>
      <c r="G59" s="1914"/>
      <c r="H59" s="1915"/>
      <c r="I59" s="73"/>
      <c r="J59" s="59"/>
      <c r="K59" s="82" t="s">
        <v>143</v>
      </c>
      <c r="L59" s="75"/>
    </row>
    <row r="60" spans="2:12">
      <c r="B60" s="79"/>
      <c r="C60" s="69"/>
      <c r="D60" s="69"/>
      <c r="E60" s="69"/>
      <c r="F60" s="69"/>
      <c r="G60" s="69"/>
      <c r="H60" s="69"/>
      <c r="I60" s="73"/>
      <c r="J60" s="59"/>
      <c r="K60" s="26"/>
      <c r="L60" s="75"/>
    </row>
    <row r="61" spans="2:12">
      <c r="B61" s="80"/>
      <c r="C61" s="83"/>
      <c r="D61" s="83"/>
      <c r="E61" s="83"/>
      <c r="F61" s="83"/>
      <c r="G61" s="83"/>
      <c r="H61" s="83"/>
      <c r="I61" s="83"/>
      <c r="J61" s="83"/>
      <c r="K61" s="83"/>
      <c r="L61" s="84"/>
    </row>
  </sheetData>
  <mergeCells count="16">
    <mergeCell ref="C59:H59"/>
    <mergeCell ref="C56:H56"/>
    <mergeCell ref="C58:H58"/>
    <mergeCell ref="C55:H55"/>
    <mergeCell ref="C57:H57"/>
    <mergeCell ref="G39:G40"/>
    <mergeCell ref="H39:H40"/>
    <mergeCell ref="C44:H44"/>
    <mergeCell ref="C52:H52"/>
    <mergeCell ref="D54:H54"/>
    <mergeCell ref="C36:H36"/>
    <mergeCell ref="C10:H12"/>
    <mergeCell ref="C14:H14"/>
    <mergeCell ref="G19:G24"/>
    <mergeCell ref="H19:H24"/>
    <mergeCell ref="H25:H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2:J72"/>
  <sheetViews>
    <sheetView topLeftCell="B30" zoomScale="110" zoomScaleNormal="110" workbookViewId="0">
      <selection activeCell="F43" sqref="F43"/>
    </sheetView>
  </sheetViews>
  <sheetFormatPr defaultColWidth="8.85546875" defaultRowHeight="12"/>
  <cols>
    <col min="1" max="2" width="8.85546875" style="721"/>
    <col min="3" max="3" width="33.7109375" style="721" bestFit="1" customWidth="1"/>
    <col min="4" max="4" width="37.5703125" style="721" customWidth="1"/>
    <col min="5" max="5" width="24.140625" style="721" bestFit="1" customWidth="1"/>
    <col min="6" max="6" width="18.42578125" style="721" bestFit="1" customWidth="1"/>
    <col min="7" max="7" width="11.42578125" style="721" bestFit="1" customWidth="1"/>
    <col min="8" max="8" width="16.5703125" style="721" bestFit="1" customWidth="1"/>
    <col min="9" max="9" width="8.85546875" style="721"/>
    <col min="10" max="10" width="9" style="721" bestFit="1" customWidth="1"/>
    <col min="11" max="16384" width="8.85546875" style="721"/>
  </cols>
  <sheetData>
    <row r="2" spans="3:10">
      <c r="C2" s="718" t="s">
        <v>603</v>
      </c>
      <c r="D2" s="719"/>
      <c r="E2" s="718"/>
      <c r="F2" s="720"/>
      <c r="G2" s="720"/>
      <c r="H2" s="718" t="s">
        <v>583</v>
      </c>
      <c r="I2" s="720"/>
    </row>
    <row r="3" spans="3:10">
      <c r="D3" s="722"/>
    </row>
    <row r="4" spans="3:10" ht="15">
      <c r="C4" s="144" t="s">
        <v>165</v>
      </c>
      <c r="D4" s="722"/>
    </row>
    <row r="5" spans="3:10" ht="12.75" thickBot="1">
      <c r="D5" s="722"/>
    </row>
    <row r="6" spans="3:10" ht="14.45" customHeight="1">
      <c r="C6" s="723"/>
      <c r="D6" s="1916" t="s">
        <v>146</v>
      </c>
      <c r="E6" s="1916" t="s">
        <v>401</v>
      </c>
      <c r="F6" s="724"/>
      <c r="H6" s="725"/>
      <c r="J6" s="726" t="s">
        <v>147</v>
      </c>
    </row>
    <row r="7" spans="3:10">
      <c r="C7" s="727"/>
      <c r="D7" s="1917"/>
      <c r="E7" s="1917"/>
      <c r="F7" s="728"/>
      <c r="H7" s="729" t="s">
        <v>100</v>
      </c>
      <c r="J7" s="729" t="s">
        <v>148</v>
      </c>
    </row>
    <row r="8" spans="3:10">
      <c r="D8" s="1917"/>
      <c r="E8" s="1917"/>
      <c r="F8" s="728"/>
      <c r="H8" s="729" t="s">
        <v>149</v>
      </c>
      <c r="J8" s="730" t="s">
        <v>150</v>
      </c>
    </row>
    <row r="9" spans="3:10" ht="15" thickBot="1">
      <c r="C9" s="731"/>
      <c r="D9" s="1917"/>
      <c r="E9" s="1918"/>
      <c r="F9" s="728" t="s">
        <v>862</v>
      </c>
      <c r="H9" s="730" t="s">
        <v>152</v>
      </c>
      <c r="J9" s="730" t="s">
        <v>861</v>
      </c>
    </row>
    <row r="10" spans="3:10" ht="14.25">
      <c r="C10" s="732"/>
      <c r="D10" s="733" t="s">
        <v>153</v>
      </c>
      <c r="E10" s="733" t="s">
        <v>863</v>
      </c>
      <c r="F10" s="733" t="s">
        <v>153</v>
      </c>
      <c r="H10" s="733" t="s">
        <v>154</v>
      </c>
      <c r="J10" s="733" t="s">
        <v>153</v>
      </c>
    </row>
    <row r="11" spans="3:10" ht="12.75" thickBot="1">
      <c r="C11" s="734"/>
      <c r="D11" s="735"/>
      <c r="E11" s="736"/>
      <c r="F11" s="737"/>
      <c r="H11" s="729"/>
      <c r="J11" s="738"/>
    </row>
    <row r="12" spans="3:10" ht="12.75" thickBot="1">
      <c r="C12" s="739" t="s">
        <v>155</v>
      </c>
      <c r="D12" s="740">
        <f>'Annex 3 Total O&amp;M'!C97</f>
        <v>208275258</v>
      </c>
      <c r="E12" s="741">
        <f>'Annex 2'!D17+'Annex 2'!D61</f>
        <v>2848461.37</v>
      </c>
      <c r="F12" s="742">
        <f>D12/E12</f>
        <v>73.118512398853412</v>
      </c>
      <c r="H12" s="743">
        <f>'Annex 2'!D55</f>
        <v>0.94</v>
      </c>
      <c r="J12" s="744">
        <f t="shared" ref="J12:J20" si="0">F12/H12</f>
        <v>77.785651488141937</v>
      </c>
    </row>
    <row r="13" spans="3:10" ht="12.75" thickBot="1">
      <c r="C13" s="739" t="s">
        <v>156</v>
      </c>
      <c r="D13" s="740">
        <f>'Annex 3 Total O&amp;M'!E97</f>
        <v>247042216</v>
      </c>
      <c r="E13" s="741">
        <f>'Annex 2'!E17+'Annex 2'!E61</f>
        <v>3058772.86</v>
      </c>
      <c r="F13" s="742">
        <f t="shared" ref="F13:F20" si="1">D13/E13</f>
        <v>80.765139259147219</v>
      </c>
      <c r="G13" s="745"/>
      <c r="H13" s="743">
        <f>'Annex 2'!E55</f>
        <v>0.94</v>
      </c>
      <c r="J13" s="744">
        <f t="shared" si="0"/>
        <v>85.920360913986414</v>
      </c>
    </row>
    <row r="14" spans="3:10" ht="12.75" thickBot="1">
      <c r="C14" s="739" t="s">
        <v>157</v>
      </c>
      <c r="D14" s="746">
        <f>'Annex 3 Total O&amp;M'!G97</f>
        <v>231186938.59999999</v>
      </c>
      <c r="E14" s="747">
        <f>'Annex 2'!F17+'Annex 2'!F61</f>
        <v>3061297.77</v>
      </c>
      <c r="F14" s="748">
        <f>D14/E14</f>
        <v>75.51925881421198</v>
      </c>
      <c r="G14" s="749"/>
      <c r="H14" s="750">
        <f>'Annex 2'!F55</f>
        <v>0.94</v>
      </c>
      <c r="J14" s="751">
        <f t="shared" si="0"/>
        <v>80.339637036395729</v>
      </c>
    </row>
    <row r="15" spans="3:10" ht="12.75" thickBot="1">
      <c r="C15" s="752" t="s">
        <v>400</v>
      </c>
      <c r="D15" s="746">
        <f>'Annex 3 Total O&amp;M'!I97</f>
        <v>290968238.85159999</v>
      </c>
      <c r="E15" s="747">
        <f>'Annex 2'!G17+'Annex 2'!G61</f>
        <v>5110803</v>
      </c>
      <c r="F15" s="742">
        <f>D15/E15</f>
        <v>56.932000480472439</v>
      </c>
      <c r="G15" s="749"/>
      <c r="H15" s="750">
        <f>'Annex 2'!G55</f>
        <v>0.87</v>
      </c>
      <c r="I15" s="749"/>
      <c r="J15" s="744">
        <f>F15/H15</f>
        <v>65.439081012037292</v>
      </c>
    </row>
    <row r="16" spans="3:10" ht="12.75" thickBot="1">
      <c r="C16" s="739" t="s">
        <v>159</v>
      </c>
      <c r="D16" s="740">
        <f>'Annex 3 Total O&amp;M'!K97</f>
        <v>394701191.55748051</v>
      </c>
      <c r="E16" s="741">
        <f>'[15]Annex 2'!H17+'[15]Annex 2'!H61</f>
        <v>4803088.5451489864</v>
      </c>
      <c r="F16" s="742">
        <f>D16/E16</f>
        <v>82.176538668253372</v>
      </c>
      <c r="H16" s="743">
        <f>'Annex 2'!H55</f>
        <v>0.9</v>
      </c>
      <c r="J16" s="744">
        <f t="shared" si="0"/>
        <v>91.307265186948186</v>
      </c>
    </row>
    <row r="17" spans="3:10" ht="12.75" thickBot="1">
      <c r="C17" s="739" t="s">
        <v>160</v>
      </c>
      <c r="D17" s="740">
        <f>'Annex 3 Total O&amp;M'!M97</f>
        <v>403923174.30405569</v>
      </c>
      <c r="E17" s="741">
        <f>'[15]Annex 6 Calc AT'!$E$16</f>
        <v>4803088.5451489864</v>
      </c>
      <c r="F17" s="742">
        <f t="shared" si="1"/>
        <v>84.096549648664961</v>
      </c>
      <c r="H17" s="743">
        <f>'Annex 2'!I55</f>
        <v>0.92</v>
      </c>
      <c r="J17" s="744">
        <f t="shared" si="0"/>
        <v>91.409293096374952</v>
      </c>
    </row>
    <row r="18" spans="3:10" ht="12.75" thickBot="1">
      <c r="C18" s="739" t="s">
        <v>161</v>
      </c>
      <c r="D18" s="740">
        <f>'Annex 3 Total O&amp;M'!O97</f>
        <v>414244843.23769629</v>
      </c>
      <c r="E18" s="741">
        <f>'[15]Annex 6 Calc AT'!$E$16</f>
        <v>4803088.5451489864</v>
      </c>
      <c r="F18" s="742">
        <f t="shared" si="1"/>
        <v>86.245514598325371</v>
      </c>
      <c r="H18" s="743">
        <f>'Annex 2'!J55</f>
        <v>0.93</v>
      </c>
      <c r="J18" s="744">
        <f t="shared" si="0"/>
        <v>92.737112471317602</v>
      </c>
    </row>
    <row r="19" spans="3:10" ht="12.75" thickBot="1">
      <c r="C19" s="739" t="s">
        <v>162</v>
      </c>
      <c r="D19" s="740">
        <f>'Annex 3 Total O&amp;M'!Q97</f>
        <v>423373518.62366927</v>
      </c>
      <c r="E19" s="741">
        <f>'[15]Annex 6 Calc AT'!$E$16</f>
        <v>4803088.5451489864</v>
      </c>
      <c r="F19" s="742">
        <f t="shared" si="1"/>
        <v>88.146099045221064</v>
      </c>
      <c r="H19" s="743">
        <f>'Annex 2'!K55</f>
        <v>0.95</v>
      </c>
      <c r="J19" s="744">
        <f t="shared" si="0"/>
        <v>92.785367416022183</v>
      </c>
    </row>
    <row r="20" spans="3:10" ht="12.75" thickBot="1">
      <c r="C20" s="739" t="s">
        <v>163</v>
      </c>
      <c r="D20" s="740">
        <f>'Annex 3 Total O&amp;M'!S97</f>
        <v>443303453.04971921</v>
      </c>
      <c r="E20" s="741">
        <f>'[15]Annex 6 Calc AT'!$E$16</f>
        <v>4803088.5451489864</v>
      </c>
      <c r="F20" s="742">
        <f t="shared" si="1"/>
        <v>92.295498798881383</v>
      </c>
      <c r="H20" s="743">
        <f>'Annex 2'!L55</f>
        <v>0.95</v>
      </c>
      <c r="J20" s="744">
        <f t="shared" si="0"/>
        <v>97.153156630401455</v>
      </c>
    </row>
    <row r="21" spans="3:10" ht="12.75" thickBot="1">
      <c r="C21" s="754" t="s">
        <v>164</v>
      </c>
      <c r="D21" s="755">
        <f>SUM(D16:D20)</f>
        <v>2079546180.7726212</v>
      </c>
      <c r="E21" s="756">
        <f>SUM(E16:E20)</f>
        <v>24015442.725744933</v>
      </c>
      <c r="F21" s="757">
        <f>D21/E21</f>
        <v>86.592040151869227</v>
      </c>
      <c r="H21" s="758">
        <f>AVERAGE(H16:H19)</f>
        <v>0.92500000000000004</v>
      </c>
      <c r="J21" s="759">
        <f>AVERAGE(J16:J20)</f>
        <v>93.078438960212864</v>
      </c>
    </row>
    <row r="23" spans="3:10">
      <c r="D23" s="727"/>
    </row>
    <row r="24" spans="3:10" ht="15">
      <c r="C24" s="144" t="s">
        <v>166</v>
      </c>
      <c r="D24" s="722"/>
    </row>
    <row r="25" spans="3:10" ht="12.75" thickBot="1">
      <c r="D25" s="722"/>
    </row>
    <row r="26" spans="3:10">
      <c r="C26" s="723"/>
      <c r="D26" s="1916" t="s">
        <v>146</v>
      </c>
      <c r="E26" s="760"/>
      <c r="F26" s="724"/>
      <c r="H26" s="725"/>
      <c r="J26" s="726" t="s">
        <v>147</v>
      </c>
    </row>
    <row r="27" spans="3:10">
      <c r="D27" s="1917"/>
      <c r="E27" s="728"/>
      <c r="F27" s="728"/>
      <c r="H27" s="729" t="s">
        <v>100</v>
      </c>
      <c r="J27" s="729" t="s">
        <v>148</v>
      </c>
    </row>
    <row r="28" spans="3:10">
      <c r="D28" s="1917"/>
      <c r="E28" s="728"/>
      <c r="F28" s="728"/>
      <c r="H28" s="729" t="s">
        <v>149</v>
      </c>
      <c r="J28" s="730" t="s">
        <v>150</v>
      </c>
    </row>
    <row r="29" spans="3:10" ht="15" thickBot="1">
      <c r="C29" s="731"/>
      <c r="D29" s="1917"/>
      <c r="E29" s="728" t="s">
        <v>151</v>
      </c>
      <c r="F29" s="728" t="s">
        <v>862</v>
      </c>
      <c r="H29" s="730" t="s">
        <v>152</v>
      </c>
      <c r="J29" s="730" t="s">
        <v>861</v>
      </c>
    </row>
    <row r="30" spans="3:10" ht="14.25">
      <c r="C30" s="732"/>
      <c r="D30" s="733" t="s">
        <v>153</v>
      </c>
      <c r="E30" s="733" t="s">
        <v>863</v>
      </c>
      <c r="F30" s="733" t="s">
        <v>153</v>
      </c>
      <c r="H30" s="733" t="s">
        <v>154</v>
      </c>
      <c r="J30" s="733" t="s">
        <v>153</v>
      </c>
    </row>
    <row r="31" spans="3:10" ht="12.75" thickBot="1">
      <c r="C31" s="734"/>
      <c r="D31" s="735"/>
      <c r="E31" s="1471"/>
      <c r="F31" s="737"/>
      <c r="H31" s="729"/>
      <c r="J31" s="738"/>
    </row>
    <row r="32" spans="3:10" ht="12.75" thickBot="1">
      <c r="C32" s="739" t="s">
        <v>155</v>
      </c>
      <c r="D32" s="740">
        <f>'Annex 3a - Water'!D88</f>
        <v>156908451</v>
      </c>
      <c r="E32" s="1470">
        <f>'Annex 2'!G17</f>
        <v>2916310</v>
      </c>
      <c r="F32" s="742">
        <f>D32/E32</f>
        <v>53.803762631544657</v>
      </c>
      <c r="H32" s="743">
        <f>H12</f>
        <v>0.94</v>
      </c>
      <c r="J32" s="744">
        <f>F32/H32</f>
        <v>57.238045352707083</v>
      </c>
    </row>
    <row r="33" spans="3:10" ht="12.75" thickBot="1">
      <c r="C33" s="739" t="s">
        <v>156</v>
      </c>
      <c r="D33" s="740">
        <f>'Annex 3a - Water'!F88</f>
        <v>184402534.29999998</v>
      </c>
      <c r="E33" s="741">
        <f>'Annex 2'!E17</f>
        <v>2851221</v>
      </c>
      <c r="F33" s="742">
        <f t="shared" ref="F33:F40" si="2">D33/E33</f>
        <v>64.674935510084978</v>
      </c>
      <c r="G33" s="745"/>
      <c r="H33" s="743">
        <f t="shared" ref="H33:H40" si="3">H13</f>
        <v>0.94</v>
      </c>
      <c r="J33" s="744">
        <f t="shared" ref="J33:J40" si="4">F33/H33</f>
        <v>68.803122883069136</v>
      </c>
    </row>
    <row r="34" spans="3:10" ht="12.75" thickBot="1">
      <c r="C34" s="739" t="s">
        <v>157</v>
      </c>
      <c r="D34" s="740">
        <f>'Annex 3a - Water'!H88</f>
        <v>163559599.39999998</v>
      </c>
      <c r="E34" s="741">
        <f>'Annex 2'!G17</f>
        <v>2916310</v>
      </c>
      <c r="F34" s="742">
        <f t="shared" si="2"/>
        <v>56.084435262369219</v>
      </c>
      <c r="H34" s="743">
        <f t="shared" si="3"/>
        <v>0.94</v>
      </c>
      <c r="J34" s="744">
        <f t="shared" si="4"/>
        <v>59.66429283230768</v>
      </c>
    </row>
    <row r="35" spans="3:10" ht="12.75" thickBot="1">
      <c r="C35" s="752" t="s">
        <v>158</v>
      </c>
      <c r="D35" s="746">
        <f>'Annex 3a - Water'!J88</f>
        <v>209320086.59611997</v>
      </c>
      <c r="E35" s="747">
        <f>'Annex 2'!G17</f>
        <v>2916310</v>
      </c>
      <c r="F35" s="742">
        <f t="shared" si="2"/>
        <v>71.775663971292474</v>
      </c>
      <c r="G35" s="749"/>
      <c r="H35" s="743">
        <f t="shared" si="3"/>
        <v>0.87</v>
      </c>
      <c r="I35" s="749"/>
      <c r="J35" s="744">
        <f t="shared" si="4"/>
        <v>82.500763185393652</v>
      </c>
    </row>
    <row r="36" spans="3:10" ht="12.75" thickBot="1">
      <c r="C36" s="739" t="s">
        <v>159</v>
      </c>
      <c r="D36" s="740">
        <f>'Annex 3a - Water'!K88</f>
        <v>285794008.27823627</v>
      </c>
      <c r="E36" s="741">
        <f>'Annex 2'!H17</f>
        <v>3777233.54</v>
      </c>
      <c r="F36" s="742">
        <f t="shared" si="2"/>
        <v>75.662255259503041</v>
      </c>
      <c r="H36" s="743">
        <f t="shared" si="3"/>
        <v>0.9</v>
      </c>
      <c r="J36" s="744">
        <f t="shared" si="4"/>
        <v>84.069172510558928</v>
      </c>
    </row>
    <row r="37" spans="3:10" ht="12.75" thickBot="1">
      <c r="C37" s="739" t="s">
        <v>160</v>
      </c>
      <c r="D37" s="740">
        <f>'Annex 3a - Water'!L88</f>
        <v>363182068.63803899</v>
      </c>
      <c r="E37" s="741">
        <f>'Annex 2'!I17</f>
        <v>3777233.54</v>
      </c>
      <c r="F37" s="742">
        <f t="shared" si="2"/>
        <v>96.150281625964539</v>
      </c>
      <c r="H37" s="743">
        <f t="shared" si="3"/>
        <v>0.92</v>
      </c>
      <c r="J37" s="744">
        <f t="shared" si="4"/>
        <v>104.51117568039624</v>
      </c>
    </row>
    <row r="38" spans="3:10" ht="12.75" thickBot="1">
      <c r="C38" s="739" t="s">
        <v>161</v>
      </c>
      <c r="D38" s="740">
        <f>'Annex 3a - Water'!M88</f>
        <v>371376071.31958258</v>
      </c>
      <c r="E38" s="741">
        <f>'Annex 2'!J17</f>
        <v>3833610.1599999997</v>
      </c>
      <c r="F38" s="742">
        <f t="shared" si="2"/>
        <v>96.873718458525431</v>
      </c>
      <c r="H38" s="743">
        <f t="shared" si="3"/>
        <v>0.93</v>
      </c>
      <c r="J38" s="744">
        <f t="shared" si="4"/>
        <v>104.16528866508111</v>
      </c>
    </row>
    <row r="39" spans="3:10" ht="12.75" thickBot="1">
      <c r="C39" s="739" t="s">
        <v>162</v>
      </c>
      <c r="D39" s="740">
        <f>'Annex 3a - Water'!N88</f>
        <v>378378337.65282762</v>
      </c>
      <c r="E39" s="741">
        <f>'Annex 2'!K17</f>
        <v>3889986.7800000003</v>
      </c>
      <c r="F39" s="742">
        <f t="shared" si="2"/>
        <v>97.269826107950834</v>
      </c>
      <c r="H39" s="743">
        <f t="shared" si="3"/>
        <v>0.95</v>
      </c>
      <c r="J39" s="744">
        <f t="shared" si="4"/>
        <v>102.38929063994826</v>
      </c>
    </row>
    <row r="40" spans="3:10" ht="12.75" thickBot="1">
      <c r="C40" s="739" t="s">
        <v>163</v>
      </c>
      <c r="D40" s="740">
        <f>'Annex 3a - Water'!O88</f>
        <v>392244911.63189644</v>
      </c>
      <c r="E40" s="753">
        <f>'Annex 2'!L17</f>
        <v>3946363.4</v>
      </c>
      <c r="F40" s="742">
        <f t="shared" si="2"/>
        <v>99.394017193626027</v>
      </c>
      <c r="H40" s="743">
        <f t="shared" si="3"/>
        <v>0.95</v>
      </c>
      <c r="J40" s="744">
        <f t="shared" si="4"/>
        <v>104.62528125644846</v>
      </c>
    </row>
    <row r="41" spans="3:10" ht="12.75" thickBot="1">
      <c r="C41" s="754" t="s">
        <v>164</v>
      </c>
      <c r="D41" s="755">
        <f>SUM(D36:D40)</f>
        <v>1790975397.520582</v>
      </c>
      <c r="E41" s="756">
        <f>SUM(E36:E40)</f>
        <v>19224427.419999998</v>
      </c>
      <c r="F41" s="757">
        <f>D41/E41</f>
        <v>93.16144290764953</v>
      </c>
      <c r="H41" s="758">
        <f>AVERAGE(H36:H40)</f>
        <v>0.93</v>
      </c>
      <c r="J41" s="759">
        <f>AVERAGE(J36:J40)</f>
        <v>99.952041750486615</v>
      </c>
    </row>
    <row r="44" spans="3:10" ht="15">
      <c r="C44" s="144" t="s">
        <v>167</v>
      </c>
    </row>
    <row r="45" spans="3:10" ht="12.75" thickBot="1"/>
    <row r="46" spans="3:10">
      <c r="C46" s="723"/>
      <c r="D46" s="1916" t="s">
        <v>146</v>
      </c>
      <c r="E46" s="760"/>
      <c r="F46" s="724"/>
      <c r="H46" s="725"/>
      <c r="J46" s="726" t="s">
        <v>147</v>
      </c>
    </row>
    <row r="47" spans="3:10">
      <c r="D47" s="1917"/>
      <c r="E47" s="728"/>
      <c r="F47" s="728"/>
      <c r="H47" s="729" t="s">
        <v>100</v>
      </c>
      <c r="J47" s="729" t="s">
        <v>148</v>
      </c>
    </row>
    <row r="48" spans="3:10">
      <c r="D48" s="1917"/>
      <c r="E48" s="728"/>
      <c r="F48" s="728"/>
      <c r="H48" s="729" t="s">
        <v>149</v>
      </c>
      <c r="J48" s="730" t="s">
        <v>150</v>
      </c>
    </row>
    <row r="49" spans="3:10" ht="15" thickBot="1">
      <c r="C49" s="731"/>
      <c r="D49" s="1917"/>
      <c r="E49" s="728" t="s">
        <v>1019</v>
      </c>
      <c r="F49" s="728" t="s">
        <v>862</v>
      </c>
      <c r="H49" s="730" t="s">
        <v>152</v>
      </c>
      <c r="J49" s="730" t="s">
        <v>861</v>
      </c>
    </row>
    <row r="50" spans="3:10" ht="14.25">
      <c r="C50" s="732"/>
      <c r="D50" s="733" t="s">
        <v>153</v>
      </c>
      <c r="E50" s="733" t="s">
        <v>863</v>
      </c>
      <c r="F50" s="733" t="s">
        <v>153</v>
      </c>
      <c r="H50" s="733" t="s">
        <v>154</v>
      </c>
      <c r="J50" s="733" t="s">
        <v>153</v>
      </c>
    </row>
    <row r="51" spans="3:10" ht="12.75" thickBot="1">
      <c r="C51" s="734"/>
      <c r="D51" s="735"/>
      <c r="E51" s="1471"/>
      <c r="F51" s="737"/>
      <c r="H51" s="729"/>
      <c r="J51" s="738"/>
    </row>
    <row r="52" spans="3:10" ht="12.75" thickBot="1">
      <c r="C52" s="739" t="s">
        <v>155</v>
      </c>
      <c r="D52" s="740">
        <f>'Annex 3a- Sewer'!D72</f>
        <v>51366807</v>
      </c>
      <c r="E52" s="1470">
        <f>'Annex 2'!D61</f>
        <v>199598.37</v>
      </c>
      <c r="F52" s="742">
        <f>D52/E52</f>
        <v>257.35083407745265</v>
      </c>
      <c r="H52" s="743">
        <f>H32</f>
        <v>0.94</v>
      </c>
      <c r="J52" s="744">
        <f>F52/H52</f>
        <v>273.77748306111982</v>
      </c>
    </row>
    <row r="53" spans="3:10" ht="12.75" thickBot="1">
      <c r="C53" s="739" t="s">
        <v>156</v>
      </c>
      <c r="D53" s="740">
        <f>'Annex 3a- Sewer'!F72</f>
        <v>62639681.70000001</v>
      </c>
      <c r="E53" s="741">
        <f>'Annex 2'!E61</f>
        <v>207551.86</v>
      </c>
      <c r="F53" s="742">
        <f t="shared" ref="F53:F59" si="5">D53/E53</f>
        <v>301.80255527461912</v>
      </c>
      <c r="G53" s="745"/>
      <c r="H53" s="743">
        <f t="shared" ref="H53:H60" si="6">H33</f>
        <v>0.94</v>
      </c>
      <c r="J53" s="744">
        <f t="shared" ref="J53:J60" si="7">F53/H53</f>
        <v>321.06654816448844</v>
      </c>
    </row>
    <row r="54" spans="3:10" ht="12.75" thickBot="1">
      <c r="C54" s="739" t="s">
        <v>157</v>
      </c>
      <c r="D54" s="740">
        <f>'Annex 3a- Sewer'!H72</f>
        <v>55533810.600000001</v>
      </c>
      <c r="E54" s="741">
        <f>'Annex 2'!F61</f>
        <v>210076.77</v>
      </c>
      <c r="F54" s="742">
        <f t="shared" si="5"/>
        <v>264.35007830708747</v>
      </c>
      <c r="H54" s="743">
        <f t="shared" si="6"/>
        <v>0.94</v>
      </c>
      <c r="J54" s="744">
        <f t="shared" si="7"/>
        <v>281.22348756073137</v>
      </c>
    </row>
    <row r="55" spans="3:10" ht="12.75" thickBot="1">
      <c r="C55" s="752" t="s">
        <v>158</v>
      </c>
      <c r="D55" s="746">
        <f>'Annex 3a- Sewer'!J87</f>
        <v>81648152.255480006</v>
      </c>
      <c r="E55" s="741">
        <f>'Annex 2'!G61</f>
        <v>2194492.9999999995</v>
      </c>
      <c r="F55" s="742">
        <f t="shared" si="5"/>
        <v>37.205929686483401</v>
      </c>
      <c r="G55" s="749"/>
      <c r="H55" s="743">
        <f t="shared" si="6"/>
        <v>0.87</v>
      </c>
      <c r="I55" s="749"/>
      <c r="J55" s="744">
        <f t="shared" si="7"/>
        <v>42.76543642124529</v>
      </c>
    </row>
    <row r="56" spans="3:10" ht="12.75" thickBot="1">
      <c r="C56" s="739" t="s">
        <v>159</v>
      </c>
      <c r="D56" s="740">
        <f>'Annex 3a- Sewer'!K87</f>
        <v>108907183.27924415</v>
      </c>
      <c r="E56" s="741">
        <f>'Annex 2'!H61</f>
        <v>2839259.993732661</v>
      </c>
      <c r="F56" s="742">
        <f t="shared" si="5"/>
        <v>38.357594415320968</v>
      </c>
      <c r="H56" s="743">
        <f t="shared" si="6"/>
        <v>0.9</v>
      </c>
      <c r="J56" s="744">
        <f t="shared" si="7"/>
        <v>42.619549350356628</v>
      </c>
    </row>
    <row r="57" spans="3:10" ht="12.75" thickBot="1">
      <c r="C57" s="739" t="s">
        <v>160</v>
      </c>
      <c r="D57" s="740">
        <f>'Annex 3a- Sewer'!L87</f>
        <v>139809689.88521668</v>
      </c>
      <c r="E57" s="741">
        <f>'Annex 2'!I61</f>
        <v>2839259.993732661</v>
      </c>
      <c r="F57" s="742">
        <f t="shared" si="5"/>
        <v>49.241594709125074</v>
      </c>
      <c r="H57" s="743">
        <f t="shared" si="6"/>
        <v>0.92</v>
      </c>
      <c r="J57" s="744">
        <f t="shared" si="7"/>
        <v>53.523472509918555</v>
      </c>
    </row>
    <row r="58" spans="3:10" ht="12.75" thickBot="1">
      <c r="C58" s="739" t="s">
        <v>161</v>
      </c>
      <c r="D58" s="740">
        <f>'Annex 3a- Sewer'!M87</f>
        <v>141138609.95811367</v>
      </c>
      <c r="E58" s="741">
        <f>'Annex 2'!J61</f>
        <v>2881637.0085644918</v>
      </c>
      <c r="F58" s="742">
        <f t="shared" si="5"/>
        <v>48.97862206052902</v>
      </c>
      <c r="H58" s="743">
        <f t="shared" si="6"/>
        <v>0.93</v>
      </c>
      <c r="J58" s="744">
        <f t="shared" si="7"/>
        <v>52.665185011321526</v>
      </c>
    </row>
    <row r="59" spans="3:10" ht="12.75" thickBot="1">
      <c r="C59" s="739" t="s">
        <v>162</v>
      </c>
      <c r="D59" s="740">
        <f>'Annex 3a- Sewer'!N87</f>
        <v>142466272.8316417</v>
      </c>
      <c r="E59" s="741">
        <f>'Annex 2'!K61</f>
        <v>2924014.0233963239</v>
      </c>
      <c r="F59" s="742">
        <f t="shared" si="5"/>
        <v>48.722841850861968</v>
      </c>
      <c r="H59" s="743">
        <f t="shared" si="6"/>
        <v>0.95</v>
      </c>
      <c r="J59" s="744">
        <f t="shared" si="7"/>
        <v>51.287201948275758</v>
      </c>
    </row>
    <row r="60" spans="3:10" ht="12.75" thickBot="1">
      <c r="C60" s="739" t="s">
        <v>163</v>
      </c>
      <c r="D60" s="740">
        <f>'Annex 3a- Sewer'!O87</f>
        <v>147730887.09942269</v>
      </c>
      <c r="E60" s="753">
        <f>'Annex 2'!L61</f>
        <v>2966391.0382281542</v>
      </c>
      <c r="F60" s="742">
        <f>D60/E60</f>
        <v>49.801555221682229</v>
      </c>
      <c r="H60" s="743">
        <f t="shared" si="6"/>
        <v>0.95</v>
      </c>
      <c r="J60" s="744">
        <f t="shared" si="7"/>
        <v>52.422689707033925</v>
      </c>
    </row>
    <row r="61" spans="3:10" ht="12.75" thickBot="1">
      <c r="C61" s="754" t="s">
        <v>164</v>
      </c>
      <c r="D61" s="755">
        <f>SUM(D56:D60)</f>
        <v>680052643.05363894</v>
      </c>
      <c r="E61" s="756">
        <f>SUM(E56:E60)</f>
        <v>14450562.057654291</v>
      </c>
      <c r="F61" s="757">
        <f>D61/E61</f>
        <v>47.060636142759797</v>
      </c>
      <c r="H61" s="758">
        <f>AVERAGE(H56:H60)</f>
        <v>0.93</v>
      </c>
      <c r="J61" s="759">
        <f>AVERAGE(J56:J60)</f>
        <v>50.503619705381283</v>
      </c>
    </row>
    <row r="66" spans="4:8">
      <c r="D66" s="761">
        <v>103.82906725861268</v>
      </c>
      <c r="E66" s="761">
        <v>102.93696825982573</v>
      </c>
      <c r="F66" s="761">
        <v>103.95571839852698</v>
      </c>
      <c r="G66" s="761">
        <v>104.57669716595822</v>
      </c>
      <c r="H66" s="761">
        <v>104.27799349241788</v>
      </c>
    </row>
    <row r="68" spans="4:8">
      <c r="D68" s="761">
        <v>109.29375500906599</v>
      </c>
      <c r="E68" s="761">
        <v>108.35470343139551</v>
      </c>
      <c r="F68" s="761">
        <v>109.42707199844946</v>
      </c>
      <c r="G68" s="761">
        <v>110.0807338589034</v>
      </c>
      <c r="H68" s="761">
        <v>109.76630893938724</v>
      </c>
    </row>
    <row r="71" spans="4:8">
      <c r="D71" s="761">
        <v>98.907326198611045</v>
      </c>
      <c r="E71" s="761">
        <v>97.91213620384481</v>
      </c>
      <c r="F71" s="761">
        <v>98.616405356389649</v>
      </c>
      <c r="G71" s="761">
        <v>99.080517627290902</v>
      </c>
      <c r="H71" s="761">
        <v>98.540799000400398</v>
      </c>
    </row>
    <row r="72" spans="4:8">
      <c r="D72" s="761">
        <v>104.11297494590637</v>
      </c>
      <c r="E72" s="761">
        <v>103.06540653036296</v>
      </c>
      <c r="F72" s="761">
        <v>103.80674248041016</v>
      </c>
      <c r="G72" s="761">
        <v>104.29528171293779</v>
      </c>
      <c r="H72" s="761">
        <v>103.72715684252674</v>
      </c>
    </row>
  </sheetData>
  <mergeCells count="4">
    <mergeCell ref="D6:D9"/>
    <mergeCell ref="D26:D29"/>
    <mergeCell ref="D46:D49"/>
    <mergeCell ref="E6:E9"/>
  </mergeCells>
  <pageMargins left="0.7" right="0.7" top="0.75" bottom="0.75" header="0.3" footer="0.3"/>
  <ignoredErrors>
    <ignoredError sqref="E3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U129"/>
  <sheetViews>
    <sheetView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L119" sqref="L119"/>
    </sheetView>
  </sheetViews>
  <sheetFormatPr defaultColWidth="9.140625" defaultRowHeight="12.75"/>
  <cols>
    <col min="1" max="1" width="22.140625" style="763" customWidth="1"/>
    <col min="2" max="2" width="24.140625" style="763" customWidth="1"/>
    <col min="3" max="3" width="16.28515625" style="763" customWidth="1"/>
    <col min="4" max="4" width="13.42578125" style="763" customWidth="1"/>
    <col min="5" max="5" width="17.7109375" style="763" bestFit="1" customWidth="1"/>
    <col min="6" max="6" width="13.42578125" style="763" customWidth="1"/>
    <col min="7" max="7" width="16" style="763" customWidth="1"/>
    <col min="8" max="8" width="16.140625" style="763" customWidth="1"/>
    <col min="9" max="9" width="15.28515625" style="763" customWidth="1"/>
    <col min="10" max="10" width="15.140625" style="763" bestFit="1" customWidth="1"/>
    <col min="11" max="11" width="13.42578125" style="763" customWidth="1"/>
    <col min="12" max="12" width="18.85546875" style="763" customWidth="1"/>
    <col min="13" max="13" width="14.5703125" style="763" customWidth="1"/>
    <col min="14" max="14" width="12.42578125" style="763" customWidth="1"/>
    <col min="15" max="15" width="14.5703125" style="763" bestFit="1" customWidth="1"/>
    <col min="16" max="16" width="13.140625" style="763" bestFit="1" customWidth="1"/>
    <col min="17" max="17" width="16.140625" style="763" customWidth="1"/>
    <col min="18" max="18" width="9.140625" style="763"/>
    <col min="19" max="19" width="14.7109375" style="763" customWidth="1"/>
    <col min="20" max="20" width="15.140625" style="763" customWidth="1"/>
    <col min="21" max="21" width="9.85546875" style="763" customWidth="1"/>
    <col min="22" max="22" width="13.5703125" style="763" customWidth="1"/>
    <col min="23" max="23" width="13.140625" style="763" customWidth="1"/>
    <col min="24" max="24" width="13.7109375" style="763" bestFit="1" customWidth="1"/>
    <col min="25" max="25" width="10.42578125" style="763" customWidth="1"/>
    <col min="26" max="26" width="15" style="763" bestFit="1" customWidth="1"/>
    <col min="27" max="27" width="16.5703125" style="763" bestFit="1" customWidth="1"/>
    <col min="28" max="28" width="9.140625" style="763"/>
    <col min="29" max="29" width="12.28515625" style="763" bestFit="1" customWidth="1"/>
    <col min="30" max="30" width="18.85546875" style="763" bestFit="1" customWidth="1"/>
    <col min="31" max="31" width="10.5703125" style="763" bestFit="1" customWidth="1"/>
    <col min="32" max="32" width="29.85546875" style="764" customWidth="1"/>
    <col min="33" max="33" width="9.140625" style="763"/>
    <col min="34" max="34" width="16.140625" style="1617" customWidth="1"/>
    <col min="35" max="35" width="10.5703125" style="763" customWidth="1"/>
    <col min="36" max="36" width="12.85546875" style="763" customWidth="1"/>
    <col min="37" max="37" width="15" style="763" customWidth="1"/>
    <col min="38" max="38" width="16.5703125" style="763" customWidth="1"/>
    <col min="39" max="39" width="9.140625" style="763" customWidth="1"/>
    <col min="40" max="40" width="13.5703125" style="763" customWidth="1"/>
    <col min="41" max="41" width="18.5703125" style="763" customWidth="1"/>
    <col min="42" max="42" width="9.140625" style="763" customWidth="1"/>
    <col min="43" max="43" width="20.7109375" style="763" customWidth="1"/>
    <col min="44" max="44" width="13.5703125" style="763" customWidth="1"/>
    <col min="45" max="45" width="13.5703125" style="1639" customWidth="1"/>
    <col min="46" max="46" width="11.140625" style="763" customWidth="1"/>
    <col min="47" max="47" width="12.85546875" style="763" customWidth="1"/>
    <col min="48" max="48" width="16.85546875" style="763" customWidth="1"/>
    <col min="49" max="49" width="16.5703125" style="763" customWidth="1"/>
    <col min="50" max="50" width="9.28515625" style="763" customWidth="1"/>
    <col min="51" max="51" width="9.28515625" style="1742" customWidth="1"/>
    <col min="52" max="52" width="13.5703125" style="763" bestFit="1" customWidth="1"/>
    <col min="53" max="53" width="18.5703125" style="763" bestFit="1" customWidth="1"/>
    <col min="54" max="54" width="9.140625" style="763"/>
    <col min="55" max="55" width="10.5703125" style="763" customWidth="1"/>
    <col min="56" max="56" width="14.85546875" style="1722" bestFit="1" customWidth="1"/>
    <col min="57" max="57" width="13.7109375" style="763" bestFit="1" customWidth="1"/>
    <col min="58" max="58" width="12.85546875" style="763" bestFit="1" customWidth="1"/>
    <col min="59" max="59" width="15" style="763" bestFit="1" customWidth="1"/>
    <col min="60" max="60" width="16.5703125" style="763" bestFit="1" customWidth="1"/>
    <col min="61" max="61" width="9.140625" style="763"/>
    <col min="62" max="62" width="9.28515625" style="1742" customWidth="1"/>
    <col min="63" max="63" width="13.5703125" style="763" bestFit="1" customWidth="1"/>
    <col min="64" max="64" width="18.5703125" style="763" bestFit="1" customWidth="1"/>
    <col min="65" max="66" width="9.140625" style="763"/>
    <col min="67" max="67" width="15.7109375" style="1722" customWidth="1"/>
    <col min="68" max="68" width="10.140625" style="763" bestFit="1" customWidth="1"/>
    <col min="69" max="69" width="12.85546875" style="763" bestFit="1" customWidth="1"/>
    <col min="70" max="70" width="15" style="763" bestFit="1" customWidth="1"/>
    <col min="71" max="71" width="16.5703125" style="763" bestFit="1" customWidth="1"/>
    <col min="72" max="72" width="9.140625" style="763"/>
    <col min="73" max="73" width="9.28515625" style="1742" customWidth="1"/>
    <col min="74" max="74" width="13.5703125" style="763" bestFit="1" customWidth="1"/>
    <col min="75" max="75" width="18.5703125" style="763" bestFit="1" customWidth="1"/>
    <col min="76" max="76" width="9.140625" style="763"/>
    <col min="77" max="77" width="16.5703125" style="763" customWidth="1"/>
    <col min="78" max="78" width="13.5703125" style="1722" bestFit="1" customWidth="1"/>
    <col min="79" max="79" width="10.140625" style="763" bestFit="1" customWidth="1"/>
    <col min="80" max="80" width="12.85546875" style="763" bestFit="1" customWidth="1"/>
    <col min="81" max="81" width="15" style="763" bestFit="1" customWidth="1"/>
    <col min="82" max="82" width="16.5703125" style="763" bestFit="1" customWidth="1"/>
    <col min="83" max="83" width="9.140625" style="763"/>
    <col min="84" max="84" width="9.28515625" style="1742" customWidth="1"/>
    <col min="85" max="85" width="13.5703125" style="763" bestFit="1" customWidth="1"/>
    <col min="86" max="86" width="18.5703125" style="763" bestFit="1" customWidth="1"/>
    <col min="87" max="87" width="9.140625" style="763"/>
    <col min="88" max="88" width="16.85546875" style="763" customWidth="1"/>
    <col min="89" max="89" width="12.5703125" style="1722" bestFit="1" customWidth="1"/>
    <col min="90" max="90" width="12" style="763" bestFit="1" customWidth="1"/>
    <col min="91" max="91" width="9.140625" style="763"/>
    <col min="92" max="92" width="15.7109375" style="763" customWidth="1"/>
    <col min="93" max="93" width="15.140625" style="763" bestFit="1" customWidth="1"/>
    <col min="94" max="94" width="9.140625" style="763"/>
    <col min="95" max="95" width="9.28515625" style="1742" customWidth="1"/>
    <col min="96" max="96" width="13.28515625" style="763" customWidth="1"/>
    <col min="97" max="97" width="15.42578125" style="763" customWidth="1"/>
    <col min="98" max="98" width="9.85546875" style="763" bestFit="1" customWidth="1"/>
    <col min="99" max="99" width="9.140625" style="765"/>
    <col min="100" max="16384" width="9.140625" style="763"/>
  </cols>
  <sheetData>
    <row r="1" spans="1:99" ht="11.25" customHeight="1" thickBot="1">
      <c r="A1" s="762"/>
    </row>
    <row r="2" spans="1:99" ht="11.25" customHeight="1">
      <c r="A2" s="766"/>
      <c r="B2" s="767"/>
      <c r="C2" s="767"/>
      <c r="D2" s="767"/>
      <c r="E2" s="767"/>
      <c r="F2" s="767"/>
      <c r="G2" s="767"/>
      <c r="H2" s="767"/>
      <c r="I2" s="767"/>
      <c r="J2" s="767"/>
      <c r="K2" s="768"/>
      <c r="L2" s="766"/>
      <c r="M2" s="767"/>
      <c r="N2" s="767"/>
      <c r="O2" s="767"/>
      <c r="P2" s="767"/>
      <c r="Q2" s="767"/>
      <c r="R2" s="767"/>
      <c r="S2" s="767"/>
      <c r="T2" s="767"/>
      <c r="U2" s="768"/>
      <c r="V2" s="766"/>
      <c r="W2" s="767"/>
      <c r="X2" s="767"/>
      <c r="Y2" s="767"/>
      <c r="Z2" s="767"/>
      <c r="AA2" s="767"/>
      <c r="AB2" s="767"/>
      <c r="AC2" s="767"/>
      <c r="AD2" s="767"/>
      <c r="AE2" s="768"/>
      <c r="AF2" s="769"/>
      <c r="AG2" s="767"/>
      <c r="AH2" s="1618"/>
      <c r="AI2" s="767"/>
      <c r="AJ2" s="767"/>
      <c r="AK2" s="767"/>
      <c r="AL2" s="767"/>
      <c r="AM2" s="767"/>
      <c r="AN2" s="767"/>
      <c r="AO2" s="767"/>
      <c r="AP2" s="768"/>
      <c r="AQ2" s="770"/>
      <c r="AR2" s="767"/>
      <c r="AS2" s="1640"/>
      <c r="AT2" s="767"/>
      <c r="AU2" s="767"/>
      <c r="AV2" s="767"/>
      <c r="AW2" s="767"/>
      <c r="AX2" s="767"/>
      <c r="AY2" s="1743"/>
      <c r="AZ2" s="767"/>
      <c r="BA2" s="767"/>
      <c r="BB2" s="768"/>
      <c r="BJ2" s="1743"/>
      <c r="BU2" s="1743"/>
      <c r="CF2" s="1743"/>
      <c r="CQ2" s="1743"/>
    </row>
    <row r="3" spans="1:99" ht="15" customHeight="1" thickBot="1">
      <c r="A3" s="771"/>
      <c r="B3" s="772"/>
      <c r="D3" s="772"/>
      <c r="E3" s="772"/>
      <c r="F3" s="772"/>
      <c r="G3" s="773"/>
      <c r="H3" s="772"/>
      <c r="I3" s="772"/>
      <c r="J3" s="774" t="s">
        <v>584</v>
      </c>
      <c r="K3" s="775"/>
      <c r="L3" s="776">
        <f>B3</f>
        <v>0</v>
      </c>
      <c r="M3" s="777"/>
      <c r="N3" s="778"/>
      <c r="O3" s="778"/>
      <c r="P3" s="778"/>
      <c r="Q3" s="779"/>
      <c r="R3" s="778"/>
      <c r="S3" s="778"/>
      <c r="T3" s="780" t="s">
        <v>584</v>
      </c>
      <c r="U3" s="781"/>
      <c r="V3" s="776">
        <f>L3</f>
        <v>0</v>
      </c>
      <c r="W3" s="777"/>
      <c r="X3" s="778"/>
      <c r="Y3" s="778"/>
      <c r="Z3" s="778"/>
      <c r="AA3" s="779"/>
      <c r="AB3" s="778"/>
      <c r="AC3" s="778"/>
      <c r="AD3" s="780" t="s">
        <v>584</v>
      </c>
      <c r="AE3" s="781"/>
      <c r="AF3" s="782"/>
      <c r="AG3" s="778">
        <f>V3</f>
        <v>0</v>
      </c>
      <c r="AH3" s="1619"/>
      <c r="AI3" s="778"/>
      <c r="AJ3" s="778"/>
      <c r="AK3" s="778"/>
      <c r="AL3" s="779"/>
      <c r="AM3" s="778"/>
      <c r="AN3" s="778"/>
      <c r="AO3" s="780" t="s">
        <v>584</v>
      </c>
      <c r="AP3" s="781"/>
      <c r="AQ3" s="783" t="s">
        <v>393</v>
      </c>
      <c r="AR3" s="778"/>
      <c r="AS3" s="1641"/>
      <c r="AT3" s="778"/>
      <c r="AU3" s="778"/>
      <c r="AV3" s="778"/>
      <c r="AW3" s="779"/>
      <c r="AX3" s="778"/>
      <c r="AY3" s="1744"/>
      <c r="AZ3" s="778"/>
      <c r="BA3" s="780" t="s">
        <v>584</v>
      </c>
      <c r="BB3" s="781"/>
      <c r="BC3" s="772" t="str">
        <f>AQ3</f>
        <v>Revised Tariff Bands</v>
      </c>
      <c r="BE3" s="772"/>
      <c r="BF3" s="772"/>
      <c r="BG3" s="772"/>
      <c r="BH3" s="773"/>
      <c r="BI3" s="772"/>
      <c r="BJ3" s="1744"/>
      <c r="BK3" s="772"/>
      <c r="BL3" s="774" t="s">
        <v>584</v>
      </c>
      <c r="BM3" s="775"/>
      <c r="BN3" s="772" t="str">
        <f>BC3</f>
        <v>Revised Tariff Bands</v>
      </c>
      <c r="BP3" s="772"/>
      <c r="BQ3" s="772"/>
      <c r="BR3" s="772"/>
      <c r="BS3" s="773"/>
      <c r="BT3" s="772"/>
      <c r="BU3" s="1744"/>
      <c r="BV3" s="772"/>
      <c r="BW3" s="774" t="s">
        <v>584</v>
      </c>
      <c r="BX3" s="775"/>
      <c r="BY3" s="772" t="str">
        <f>BN3</f>
        <v>Revised Tariff Bands</v>
      </c>
      <c r="CA3" s="772"/>
      <c r="CB3" s="772"/>
      <c r="CC3" s="772"/>
      <c r="CD3" s="773"/>
      <c r="CE3" s="772"/>
      <c r="CF3" s="1744"/>
      <c r="CG3" s="772"/>
      <c r="CH3" s="774" t="s">
        <v>584</v>
      </c>
      <c r="CI3" s="775"/>
      <c r="CJ3" s="772" t="str">
        <f>BY3</f>
        <v>Revised Tariff Bands</v>
      </c>
      <c r="CL3" s="772"/>
      <c r="CM3" s="772"/>
      <c r="CN3" s="772"/>
      <c r="CO3" s="773"/>
      <c r="CP3" s="772"/>
      <c r="CQ3" s="1744"/>
      <c r="CR3" s="772"/>
      <c r="CS3" s="774" t="s">
        <v>584</v>
      </c>
      <c r="CT3" s="775"/>
    </row>
    <row r="4" spans="1:99" ht="15" customHeight="1" thickBot="1">
      <c r="A4" s="771"/>
      <c r="B4" s="784"/>
      <c r="D4" s="784"/>
      <c r="E4" s="784"/>
      <c r="F4" s="784"/>
      <c r="G4" s="785"/>
      <c r="H4" s="784"/>
      <c r="I4" s="784"/>
      <c r="J4" s="786"/>
      <c r="K4" s="787"/>
      <c r="L4" s="784"/>
      <c r="M4" s="777"/>
      <c r="N4" s="784"/>
      <c r="O4" s="784"/>
      <c r="P4" s="784"/>
      <c r="Q4" s="785"/>
      <c r="R4" s="784"/>
      <c r="S4" s="784"/>
      <c r="T4" s="786"/>
      <c r="U4" s="787"/>
      <c r="V4" s="784"/>
      <c r="W4" s="777"/>
      <c r="X4" s="784"/>
      <c r="Y4" s="784"/>
      <c r="Z4" s="784"/>
      <c r="AA4" s="785"/>
      <c r="AB4" s="784"/>
      <c r="AC4" s="784"/>
      <c r="AD4" s="786"/>
      <c r="AE4" s="787"/>
      <c r="AF4" s="788"/>
      <c r="AG4" s="784"/>
      <c r="AH4" s="1619"/>
      <c r="AI4" s="784"/>
      <c r="AJ4" s="784"/>
      <c r="AK4" s="784"/>
      <c r="AL4" s="785"/>
      <c r="AM4" s="784"/>
      <c r="AN4" s="784"/>
      <c r="AO4" s="786"/>
      <c r="AP4" s="787"/>
      <c r="AQ4" s="789" t="s">
        <v>393</v>
      </c>
      <c r="AR4" s="784"/>
      <c r="AS4" s="1657" t="s">
        <v>1023</v>
      </c>
      <c r="AT4" s="784"/>
      <c r="AU4" s="784"/>
      <c r="AV4" s="784"/>
      <c r="AW4" s="785"/>
      <c r="AX4" s="784"/>
      <c r="AY4" s="1745"/>
      <c r="AZ4" s="784"/>
      <c r="BA4" s="786"/>
      <c r="BB4" s="787"/>
      <c r="BC4" s="784"/>
      <c r="BE4" s="784"/>
      <c r="BF4" s="784"/>
      <c r="BG4" s="784"/>
      <c r="BH4" s="785"/>
      <c r="BI4" s="784"/>
      <c r="BJ4" s="1745"/>
      <c r="BK4" s="784"/>
      <c r="BL4" s="786"/>
      <c r="BM4" s="787"/>
      <c r="BN4" s="784"/>
      <c r="BP4" s="784"/>
      <c r="BQ4" s="784"/>
      <c r="BR4" s="784"/>
      <c r="BS4" s="785"/>
      <c r="BT4" s="784"/>
      <c r="BU4" s="1745"/>
      <c r="BV4" s="784"/>
      <c r="BW4" s="786"/>
      <c r="BX4" s="787"/>
      <c r="BY4" s="784"/>
      <c r="CA4" s="784"/>
      <c r="CB4" s="784"/>
      <c r="CC4" s="784"/>
      <c r="CD4" s="785"/>
      <c r="CE4" s="784"/>
      <c r="CF4" s="1745"/>
      <c r="CG4" s="784"/>
      <c r="CH4" s="786"/>
      <c r="CI4" s="787"/>
      <c r="CJ4" s="784"/>
      <c r="CL4" s="784"/>
      <c r="CM4" s="784"/>
      <c r="CN4" s="784"/>
      <c r="CO4" s="785"/>
      <c r="CP4" s="784"/>
      <c r="CQ4" s="1745"/>
      <c r="CR4" s="784"/>
      <c r="CS4" s="786"/>
      <c r="CT4" s="787"/>
    </row>
    <row r="5" spans="1:99" ht="16.5" thickBot="1">
      <c r="A5" s="771"/>
      <c r="C5" s="790"/>
      <c r="D5" s="791"/>
      <c r="E5" s="791"/>
      <c r="J5" s="792"/>
      <c r="K5" s="787"/>
      <c r="M5" s="777"/>
      <c r="N5" s="791"/>
      <c r="O5" s="791"/>
      <c r="T5" s="792"/>
      <c r="U5" s="787"/>
      <c r="W5" s="777"/>
      <c r="X5" s="791"/>
      <c r="Y5" s="791"/>
      <c r="AD5" s="792"/>
      <c r="AE5" s="787"/>
      <c r="AF5" s="788"/>
      <c r="AH5" s="1619"/>
      <c r="AI5" s="791"/>
      <c r="AJ5" s="791"/>
      <c r="AO5" s="792"/>
      <c r="AP5" s="787"/>
      <c r="AQ5" s="789"/>
      <c r="AS5" s="1658" t="s">
        <v>1024</v>
      </c>
      <c r="AT5" s="791"/>
      <c r="AU5" s="791"/>
      <c r="AZ5" s="1654" t="s">
        <v>1020</v>
      </c>
      <c r="BA5" s="792"/>
      <c r="BB5" s="787"/>
      <c r="BD5" s="1723"/>
      <c r="BE5" s="791"/>
      <c r="BF5" s="791"/>
      <c r="BL5" s="792"/>
      <c r="BM5" s="787"/>
      <c r="BO5" s="1723"/>
      <c r="BP5" s="791"/>
      <c r="BQ5" s="791"/>
      <c r="BW5" s="792"/>
      <c r="BX5" s="787"/>
      <c r="BZ5" s="1723"/>
      <c r="CA5" s="791"/>
      <c r="CB5" s="791"/>
      <c r="CH5" s="792"/>
      <c r="CI5" s="787"/>
      <c r="CK5" s="1723"/>
      <c r="CL5" s="791"/>
      <c r="CM5" s="791"/>
      <c r="CS5" s="792"/>
      <c r="CT5" s="787"/>
    </row>
    <row r="6" spans="1:99" ht="20.25" customHeight="1" thickBot="1">
      <c r="A6" s="793"/>
      <c r="B6" s="1939" t="s">
        <v>168</v>
      </c>
      <c r="C6" s="1940"/>
      <c r="D6" s="1940"/>
      <c r="E6" s="1940"/>
      <c r="F6" s="1940"/>
      <c r="G6" s="1940"/>
      <c r="H6" s="1940"/>
      <c r="I6" s="1940"/>
      <c r="J6" s="1940"/>
      <c r="K6" s="1941"/>
      <c r="L6" s="1939" t="s">
        <v>169</v>
      </c>
      <c r="M6" s="1940"/>
      <c r="N6" s="1940"/>
      <c r="O6" s="1940"/>
      <c r="P6" s="1940"/>
      <c r="Q6" s="1940"/>
      <c r="R6" s="1940"/>
      <c r="S6" s="1940"/>
      <c r="T6" s="1940"/>
      <c r="U6" s="1941"/>
      <c r="V6" s="1939" t="s">
        <v>170</v>
      </c>
      <c r="W6" s="1940"/>
      <c r="X6" s="1940"/>
      <c r="Y6" s="1940"/>
      <c r="Z6" s="1940"/>
      <c r="AA6" s="1940"/>
      <c r="AB6" s="1940"/>
      <c r="AC6" s="1940"/>
      <c r="AD6" s="1940"/>
      <c r="AE6" s="1941"/>
      <c r="AF6" s="794"/>
      <c r="AG6" s="1939" t="s">
        <v>171</v>
      </c>
      <c r="AH6" s="1940"/>
      <c r="AI6" s="1940"/>
      <c r="AJ6" s="1940"/>
      <c r="AK6" s="1940"/>
      <c r="AL6" s="1940"/>
      <c r="AM6" s="1940"/>
      <c r="AN6" s="1940"/>
      <c r="AO6" s="1940"/>
      <c r="AP6" s="1941"/>
      <c r="AQ6" s="1939" t="s">
        <v>172</v>
      </c>
      <c r="AR6" s="1940"/>
      <c r="AS6" s="1940"/>
      <c r="AT6" s="1940"/>
      <c r="AU6" s="1940"/>
      <c r="AV6" s="1940"/>
      <c r="AW6" s="1940"/>
      <c r="AX6" s="1940"/>
      <c r="AY6" s="1940"/>
      <c r="AZ6" s="1940"/>
      <c r="BA6" s="1940"/>
      <c r="BB6" s="1941"/>
      <c r="BC6" s="1939" t="s">
        <v>173</v>
      </c>
      <c r="BD6" s="1940"/>
      <c r="BE6" s="1940"/>
      <c r="BF6" s="1940"/>
      <c r="BG6" s="1940"/>
      <c r="BH6" s="1940"/>
      <c r="BI6" s="1940"/>
      <c r="BJ6" s="1940"/>
      <c r="BK6" s="1940"/>
      <c r="BL6" s="1940"/>
      <c r="BM6" s="1941"/>
      <c r="BN6" s="1939" t="s">
        <v>174</v>
      </c>
      <c r="BO6" s="1940"/>
      <c r="BP6" s="1940"/>
      <c r="BQ6" s="1940"/>
      <c r="BR6" s="1940"/>
      <c r="BS6" s="1940"/>
      <c r="BT6" s="1940"/>
      <c r="BU6" s="1940"/>
      <c r="BV6" s="1940"/>
      <c r="BW6" s="1940"/>
      <c r="BX6" s="1941"/>
      <c r="BY6" s="1939" t="s">
        <v>175</v>
      </c>
      <c r="BZ6" s="1940"/>
      <c r="CA6" s="1940"/>
      <c r="CB6" s="1940"/>
      <c r="CC6" s="1940"/>
      <c r="CD6" s="1940"/>
      <c r="CE6" s="1940"/>
      <c r="CF6" s="1940"/>
      <c r="CG6" s="1940"/>
      <c r="CH6" s="1940"/>
      <c r="CI6" s="1941"/>
      <c r="CJ6" s="1939" t="s">
        <v>176</v>
      </c>
      <c r="CK6" s="1940"/>
      <c r="CL6" s="1940"/>
      <c r="CM6" s="1940"/>
      <c r="CN6" s="1940"/>
      <c r="CO6" s="1940"/>
      <c r="CP6" s="1940"/>
      <c r="CQ6" s="1940"/>
      <c r="CR6" s="1940"/>
      <c r="CS6" s="1940"/>
      <c r="CT6" s="1941"/>
    </row>
    <row r="7" spans="1:99">
      <c r="A7" s="795" t="s">
        <v>3</v>
      </c>
      <c r="B7" s="796" t="s">
        <v>177</v>
      </c>
      <c r="C7" s="796" t="s">
        <v>178</v>
      </c>
      <c r="D7" s="796" t="s">
        <v>179</v>
      </c>
      <c r="E7" s="796" t="s">
        <v>180</v>
      </c>
      <c r="F7" s="797" t="s">
        <v>181</v>
      </c>
      <c r="G7" s="797" t="s">
        <v>182</v>
      </c>
      <c r="H7" s="798" t="s">
        <v>182</v>
      </c>
      <c r="I7" s="799" t="s">
        <v>181</v>
      </c>
      <c r="J7" s="799" t="s">
        <v>182</v>
      </c>
      <c r="K7" s="800" t="s">
        <v>182</v>
      </c>
      <c r="L7" s="796" t="s">
        <v>177</v>
      </c>
      <c r="M7" s="796" t="s">
        <v>178</v>
      </c>
      <c r="N7" s="796" t="s">
        <v>179</v>
      </c>
      <c r="O7" s="796" t="s">
        <v>180</v>
      </c>
      <c r="P7" s="797" t="s">
        <v>181</v>
      </c>
      <c r="Q7" s="797" t="s">
        <v>182</v>
      </c>
      <c r="R7" s="798" t="s">
        <v>182</v>
      </c>
      <c r="S7" s="799" t="s">
        <v>181</v>
      </c>
      <c r="T7" s="799" t="s">
        <v>182</v>
      </c>
      <c r="U7" s="800" t="s">
        <v>182</v>
      </c>
      <c r="V7" s="796" t="s">
        <v>177</v>
      </c>
      <c r="W7" s="796" t="s">
        <v>178</v>
      </c>
      <c r="X7" s="796" t="s">
        <v>179</v>
      </c>
      <c r="Y7" s="796" t="s">
        <v>180</v>
      </c>
      <c r="Z7" s="797" t="s">
        <v>181</v>
      </c>
      <c r="AA7" s="797" t="s">
        <v>182</v>
      </c>
      <c r="AB7" s="798" t="s">
        <v>182</v>
      </c>
      <c r="AC7" s="799" t="s">
        <v>181</v>
      </c>
      <c r="AD7" s="799" t="s">
        <v>182</v>
      </c>
      <c r="AE7" s="800" t="s">
        <v>182</v>
      </c>
      <c r="AF7" s="796" t="s">
        <v>3</v>
      </c>
      <c r="AG7" s="796" t="s">
        <v>177</v>
      </c>
      <c r="AH7" s="1620" t="s">
        <v>178</v>
      </c>
      <c r="AI7" s="796" t="s">
        <v>179</v>
      </c>
      <c r="AJ7" s="796" t="s">
        <v>180</v>
      </c>
      <c r="AK7" s="797" t="s">
        <v>181</v>
      </c>
      <c r="AL7" s="797" t="s">
        <v>182</v>
      </c>
      <c r="AM7" s="798" t="s">
        <v>182</v>
      </c>
      <c r="AN7" s="799" t="s">
        <v>181</v>
      </c>
      <c r="AO7" s="799" t="s">
        <v>182</v>
      </c>
      <c r="AP7" s="800" t="s">
        <v>182</v>
      </c>
      <c r="AQ7" s="796" t="s">
        <v>3</v>
      </c>
      <c r="AR7" s="796" t="s">
        <v>392</v>
      </c>
      <c r="AS7" s="1642" t="s">
        <v>178</v>
      </c>
      <c r="AT7" s="796" t="s">
        <v>179</v>
      </c>
      <c r="AU7" s="796" t="s">
        <v>180</v>
      </c>
      <c r="AV7" s="797" t="s">
        <v>181</v>
      </c>
      <c r="AW7" s="797" t="s">
        <v>182</v>
      </c>
      <c r="AX7" s="798" t="s">
        <v>182</v>
      </c>
      <c r="AY7" s="1746" t="s">
        <v>178</v>
      </c>
      <c r="AZ7" s="799" t="s">
        <v>181</v>
      </c>
      <c r="BA7" s="799" t="s">
        <v>182</v>
      </c>
      <c r="BB7" s="800" t="s">
        <v>182</v>
      </c>
      <c r="BC7" s="796" t="s">
        <v>177</v>
      </c>
      <c r="BD7" s="1724" t="s">
        <v>178</v>
      </c>
      <c r="BE7" s="796" t="s">
        <v>179</v>
      </c>
      <c r="BF7" s="796" t="s">
        <v>180</v>
      </c>
      <c r="BG7" s="797" t="s">
        <v>181</v>
      </c>
      <c r="BH7" s="797" t="s">
        <v>182</v>
      </c>
      <c r="BI7" s="798" t="s">
        <v>182</v>
      </c>
      <c r="BJ7" s="1746" t="s">
        <v>178</v>
      </c>
      <c r="BK7" s="799" t="s">
        <v>181</v>
      </c>
      <c r="BL7" s="799" t="s">
        <v>182</v>
      </c>
      <c r="BM7" s="800" t="s">
        <v>182</v>
      </c>
      <c r="BN7" s="796" t="s">
        <v>177</v>
      </c>
      <c r="BO7" s="1724" t="s">
        <v>178</v>
      </c>
      <c r="BP7" s="796" t="s">
        <v>179</v>
      </c>
      <c r="BQ7" s="796" t="s">
        <v>180</v>
      </c>
      <c r="BR7" s="797" t="s">
        <v>181</v>
      </c>
      <c r="BS7" s="797" t="s">
        <v>182</v>
      </c>
      <c r="BT7" s="798" t="s">
        <v>182</v>
      </c>
      <c r="BU7" s="1746" t="s">
        <v>178</v>
      </c>
      <c r="BV7" s="799" t="s">
        <v>181</v>
      </c>
      <c r="BW7" s="799" t="s">
        <v>182</v>
      </c>
      <c r="BX7" s="800" t="s">
        <v>182</v>
      </c>
      <c r="BY7" s="796" t="s">
        <v>177</v>
      </c>
      <c r="BZ7" s="1724" t="s">
        <v>178</v>
      </c>
      <c r="CA7" s="796" t="s">
        <v>179</v>
      </c>
      <c r="CB7" s="796" t="s">
        <v>180</v>
      </c>
      <c r="CC7" s="797" t="s">
        <v>181</v>
      </c>
      <c r="CD7" s="797" t="s">
        <v>182</v>
      </c>
      <c r="CE7" s="798" t="s">
        <v>182</v>
      </c>
      <c r="CF7" s="1746" t="s">
        <v>178</v>
      </c>
      <c r="CG7" s="799" t="s">
        <v>181</v>
      </c>
      <c r="CH7" s="799" t="s">
        <v>182</v>
      </c>
      <c r="CI7" s="800" t="s">
        <v>182</v>
      </c>
      <c r="CJ7" s="796" t="s">
        <v>177</v>
      </c>
      <c r="CK7" s="1724" t="s">
        <v>178</v>
      </c>
      <c r="CL7" s="796" t="s">
        <v>179</v>
      </c>
      <c r="CM7" s="796" t="s">
        <v>180</v>
      </c>
      <c r="CN7" s="797" t="s">
        <v>181</v>
      </c>
      <c r="CO7" s="797" t="s">
        <v>182</v>
      </c>
      <c r="CP7" s="798" t="s">
        <v>182</v>
      </c>
      <c r="CQ7" s="1746" t="s">
        <v>178</v>
      </c>
      <c r="CR7" s="799" t="s">
        <v>181</v>
      </c>
      <c r="CS7" s="799" t="s">
        <v>182</v>
      </c>
      <c r="CT7" s="800" t="s">
        <v>182</v>
      </c>
    </row>
    <row r="8" spans="1:99">
      <c r="A8" s="801"/>
      <c r="B8" s="802" t="s">
        <v>183</v>
      </c>
      <c r="C8" s="802" t="s">
        <v>184</v>
      </c>
      <c r="D8" s="802" t="s">
        <v>185</v>
      </c>
      <c r="E8" s="802" t="s">
        <v>186</v>
      </c>
      <c r="F8" s="803" t="s">
        <v>187</v>
      </c>
      <c r="G8" s="803" t="s">
        <v>188</v>
      </c>
      <c r="H8" s="804" t="s">
        <v>189</v>
      </c>
      <c r="I8" s="805" t="s">
        <v>187</v>
      </c>
      <c r="J8" s="805" t="s">
        <v>188</v>
      </c>
      <c r="K8" s="806" t="s">
        <v>189</v>
      </c>
      <c r="L8" s="802" t="s">
        <v>183</v>
      </c>
      <c r="M8" s="802" t="s">
        <v>184</v>
      </c>
      <c r="N8" s="802" t="s">
        <v>185</v>
      </c>
      <c r="O8" s="802" t="s">
        <v>186</v>
      </c>
      <c r="P8" s="803" t="s">
        <v>187</v>
      </c>
      <c r="Q8" s="803" t="s">
        <v>188</v>
      </c>
      <c r="R8" s="804" t="s">
        <v>189</v>
      </c>
      <c r="S8" s="805" t="s">
        <v>187</v>
      </c>
      <c r="T8" s="805" t="s">
        <v>188</v>
      </c>
      <c r="U8" s="806" t="s">
        <v>189</v>
      </c>
      <c r="V8" s="802" t="s">
        <v>183</v>
      </c>
      <c r="W8" s="802" t="s">
        <v>184</v>
      </c>
      <c r="X8" s="802" t="s">
        <v>185</v>
      </c>
      <c r="Y8" s="802" t="s">
        <v>186</v>
      </c>
      <c r="Z8" s="803" t="s">
        <v>187</v>
      </c>
      <c r="AA8" s="803" t="s">
        <v>188</v>
      </c>
      <c r="AB8" s="804" t="s">
        <v>189</v>
      </c>
      <c r="AC8" s="805" t="s">
        <v>187</v>
      </c>
      <c r="AD8" s="805" t="s">
        <v>188</v>
      </c>
      <c r="AE8" s="806" t="s">
        <v>189</v>
      </c>
      <c r="AF8" s="807"/>
      <c r="AG8" s="802" t="s">
        <v>183</v>
      </c>
      <c r="AH8" s="1621" t="s">
        <v>184</v>
      </c>
      <c r="AI8" s="802" t="s">
        <v>185</v>
      </c>
      <c r="AJ8" s="802" t="s">
        <v>186</v>
      </c>
      <c r="AK8" s="803" t="s">
        <v>187</v>
      </c>
      <c r="AL8" s="803" t="s">
        <v>188</v>
      </c>
      <c r="AM8" s="804" t="s">
        <v>189</v>
      </c>
      <c r="AN8" s="805" t="s">
        <v>187</v>
      </c>
      <c r="AO8" s="805" t="s">
        <v>188</v>
      </c>
      <c r="AP8" s="806" t="s">
        <v>189</v>
      </c>
      <c r="AQ8" s="802"/>
      <c r="AR8" s="802" t="s">
        <v>183</v>
      </c>
      <c r="AS8" s="1643" t="s">
        <v>184</v>
      </c>
      <c r="AT8" s="802" t="s">
        <v>185</v>
      </c>
      <c r="AU8" s="802" t="s">
        <v>186</v>
      </c>
      <c r="AV8" s="803" t="s">
        <v>187</v>
      </c>
      <c r="AW8" s="803" t="s">
        <v>188</v>
      </c>
      <c r="AX8" s="804" t="s">
        <v>189</v>
      </c>
      <c r="AY8" s="1747" t="s">
        <v>184</v>
      </c>
      <c r="AZ8" s="805" t="s">
        <v>187</v>
      </c>
      <c r="BA8" s="805" t="s">
        <v>188</v>
      </c>
      <c r="BB8" s="806" t="s">
        <v>189</v>
      </c>
      <c r="BC8" s="802" t="s">
        <v>183</v>
      </c>
      <c r="BD8" s="1725" t="s">
        <v>184</v>
      </c>
      <c r="BE8" s="802" t="s">
        <v>185</v>
      </c>
      <c r="BF8" s="802" t="s">
        <v>186</v>
      </c>
      <c r="BG8" s="803" t="s">
        <v>187</v>
      </c>
      <c r="BH8" s="803" t="s">
        <v>188</v>
      </c>
      <c r="BI8" s="804" t="s">
        <v>189</v>
      </c>
      <c r="BJ8" s="1747" t="s">
        <v>184</v>
      </c>
      <c r="BK8" s="805" t="s">
        <v>187</v>
      </c>
      <c r="BL8" s="805" t="s">
        <v>188</v>
      </c>
      <c r="BM8" s="806" t="s">
        <v>189</v>
      </c>
      <c r="BN8" s="802" t="s">
        <v>183</v>
      </c>
      <c r="BO8" s="1725" t="s">
        <v>184</v>
      </c>
      <c r="BP8" s="802" t="s">
        <v>185</v>
      </c>
      <c r="BQ8" s="802" t="s">
        <v>186</v>
      </c>
      <c r="BR8" s="803" t="s">
        <v>187</v>
      </c>
      <c r="BS8" s="803" t="s">
        <v>188</v>
      </c>
      <c r="BT8" s="804" t="s">
        <v>189</v>
      </c>
      <c r="BU8" s="1747" t="s">
        <v>184</v>
      </c>
      <c r="BV8" s="805" t="s">
        <v>187</v>
      </c>
      <c r="BW8" s="805" t="s">
        <v>188</v>
      </c>
      <c r="BX8" s="806" t="s">
        <v>189</v>
      </c>
      <c r="BY8" s="802" t="s">
        <v>183</v>
      </c>
      <c r="BZ8" s="1725" t="s">
        <v>184</v>
      </c>
      <c r="CA8" s="802" t="s">
        <v>185</v>
      </c>
      <c r="CB8" s="802" t="s">
        <v>186</v>
      </c>
      <c r="CC8" s="803" t="s">
        <v>187</v>
      </c>
      <c r="CD8" s="803" t="s">
        <v>188</v>
      </c>
      <c r="CE8" s="804" t="s">
        <v>189</v>
      </c>
      <c r="CF8" s="1747" t="s">
        <v>184</v>
      </c>
      <c r="CG8" s="805" t="s">
        <v>187</v>
      </c>
      <c r="CH8" s="805" t="s">
        <v>188</v>
      </c>
      <c r="CI8" s="806" t="s">
        <v>189</v>
      </c>
      <c r="CJ8" s="802" t="s">
        <v>183</v>
      </c>
      <c r="CK8" s="1725" t="s">
        <v>184</v>
      </c>
      <c r="CL8" s="802" t="s">
        <v>185</v>
      </c>
      <c r="CM8" s="802" t="s">
        <v>186</v>
      </c>
      <c r="CN8" s="803" t="s">
        <v>187</v>
      </c>
      <c r="CO8" s="803" t="s">
        <v>188</v>
      </c>
      <c r="CP8" s="804" t="s">
        <v>189</v>
      </c>
      <c r="CQ8" s="1747" t="s">
        <v>184</v>
      </c>
      <c r="CR8" s="805" t="s">
        <v>187</v>
      </c>
      <c r="CS8" s="805" t="s">
        <v>188</v>
      </c>
      <c r="CT8" s="806" t="s">
        <v>189</v>
      </c>
    </row>
    <row r="9" spans="1:99">
      <c r="A9" s="801"/>
      <c r="B9" s="802" t="s">
        <v>191</v>
      </c>
      <c r="C9" s="808" t="s">
        <v>2</v>
      </c>
      <c r="D9" s="802" t="s">
        <v>192</v>
      </c>
      <c r="E9" s="802" t="s">
        <v>193</v>
      </c>
      <c r="F9" s="803" t="s">
        <v>194</v>
      </c>
      <c r="G9" s="803" t="s">
        <v>195</v>
      </c>
      <c r="H9" s="804" t="s">
        <v>196</v>
      </c>
      <c r="I9" s="805" t="s">
        <v>194</v>
      </c>
      <c r="J9" s="805" t="s">
        <v>195</v>
      </c>
      <c r="K9" s="806" t="s">
        <v>196</v>
      </c>
      <c r="L9" s="802" t="s">
        <v>191</v>
      </c>
      <c r="M9" s="808" t="s">
        <v>2</v>
      </c>
      <c r="N9" s="802" t="s">
        <v>192</v>
      </c>
      <c r="O9" s="802" t="s">
        <v>193</v>
      </c>
      <c r="P9" s="803" t="s">
        <v>194</v>
      </c>
      <c r="Q9" s="803" t="s">
        <v>195</v>
      </c>
      <c r="R9" s="804" t="s">
        <v>196</v>
      </c>
      <c r="S9" s="805" t="s">
        <v>194</v>
      </c>
      <c r="T9" s="805" t="s">
        <v>195</v>
      </c>
      <c r="U9" s="806" t="s">
        <v>196</v>
      </c>
      <c r="V9" s="802" t="s">
        <v>191</v>
      </c>
      <c r="W9" s="808" t="s">
        <v>2</v>
      </c>
      <c r="X9" s="802" t="s">
        <v>192</v>
      </c>
      <c r="Y9" s="802" t="s">
        <v>193</v>
      </c>
      <c r="Z9" s="803" t="s">
        <v>194</v>
      </c>
      <c r="AA9" s="803" t="s">
        <v>195</v>
      </c>
      <c r="AB9" s="804" t="s">
        <v>196</v>
      </c>
      <c r="AC9" s="805" t="s">
        <v>194</v>
      </c>
      <c r="AD9" s="805" t="s">
        <v>195</v>
      </c>
      <c r="AE9" s="806" t="s">
        <v>196</v>
      </c>
      <c r="AF9" s="807"/>
      <c r="AG9" s="802" t="s">
        <v>191</v>
      </c>
      <c r="AH9" s="1622" t="s">
        <v>2</v>
      </c>
      <c r="AI9" s="802" t="s">
        <v>192</v>
      </c>
      <c r="AJ9" s="802" t="s">
        <v>193</v>
      </c>
      <c r="AK9" s="803" t="s">
        <v>194</v>
      </c>
      <c r="AL9" s="803" t="s">
        <v>195</v>
      </c>
      <c r="AM9" s="804" t="s">
        <v>196</v>
      </c>
      <c r="AN9" s="805" t="s">
        <v>194</v>
      </c>
      <c r="AO9" s="805" t="s">
        <v>195</v>
      </c>
      <c r="AP9" s="806" t="s">
        <v>196</v>
      </c>
      <c r="AQ9" s="802"/>
      <c r="AR9" s="802" t="s">
        <v>191</v>
      </c>
      <c r="AS9" s="1644" t="s">
        <v>2</v>
      </c>
      <c r="AT9" s="802" t="s">
        <v>192</v>
      </c>
      <c r="AU9" s="802" t="s">
        <v>193</v>
      </c>
      <c r="AV9" s="803" t="s">
        <v>194</v>
      </c>
      <c r="AW9" s="803" t="s">
        <v>195</v>
      </c>
      <c r="AX9" s="804" t="s">
        <v>196</v>
      </c>
      <c r="AY9" s="1748" t="s">
        <v>1058</v>
      </c>
      <c r="AZ9" s="805" t="s">
        <v>194</v>
      </c>
      <c r="BA9" s="805" t="s">
        <v>195</v>
      </c>
      <c r="BB9" s="806" t="s">
        <v>196</v>
      </c>
      <c r="BC9" s="802" t="s">
        <v>191</v>
      </c>
      <c r="BD9" s="1726" t="s">
        <v>2</v>
      </c>
      <c r="BE9" s="802" t="s">
        <v>192</v>
      </c>
      <c r="BF9" s="802" t="s">
        <v>193</v>
      </c>
      <c r="BG9" s="803" t="s">
        <v>194</v>
      </c>
      <c r="BH9" s="803" t="s">
        <v>195</v>
      </c>
      <c r="BI9" s="804" t="s">
        <v>196</v>
      </c>
      <c r="BJ9" s="1748" t="s">
        <v>1058</v>
      </c>
      <c r="BK9" s="805" t="s">
        <v>194</v>
      </c>
      <c r="BL9" s="805" t="s">
        <v>195</v>
      </c>
      <c r="BM9" s="806" t="s">
        <v>196</v>
      </c>
      <c r="BN9" s="802" t="s">
        <v>191</v>
      </c>
      <c r="BO9" s="1726" t="s">
        <v>2</v>
      </c>
      <c r="BP9" s="802" t="s">
        <v>192</v>
      </c>
      <c r="BQ9" s="802" t="s">
        <v>193</v>
      </c>
      <c r="BR9" s="803" t="s">
        <v>194</v>
      </c>
      <c r="BS9" s="803" t="s">
        <v>195</v>
      </c>
      <c r="BT9" s="804" t="s">
        <v>196</v>
      </c>
      <c r="BU9" s="1748" t="s">
        <v>1058</v>
      </c>
      <c r="BV9" s="805" t="s">
        <v>194</v>
      </c>
      <c r="BW9" s="805" t="s">
        <v>195</v>
      </c>
      <c r="BX9" s="806" t="s">
        <v>196</v>
      </c>
      <c r="BY9" s="802" t="s">
        <v>191</v>
      </c>
      <c r="BZ9" s="1726" t="s">
        <v>2</v>
      </c>
      <c r="CA9" s="802" t="s">
        <v>192</v>
      </c>
      <c r="CB9" s="802" t="s">
        <v>193</v>
      </c>
      <c r="CC9" s="803" t="s">
        <v>194</v>
      </c>
      <c r="CD9" s="803" t="s">
        <v>195</v>
      </c>
      <c r="CE9" s="804" t="s">
        <v>196</v>
      </c>
      <c r="CF9" s="1748" t="s">
        <v>1058</v>
      </c>
      <c r="CG9" s="805" t="s">
        <v>194</v>
      </c>
      <c r="CH9" s="805" t="s">
        <v>195</v>
      </c>
      <c r="CI9" s="806" t="s">
        <v>196</v>
      </c>
      <c r="CJ9" s="802" t="s">
        <v>191</v>
      </c>
      <c r="CK9" s="1726" t="s">
        <v>2</v>
      </c>
      <c r="CL9" s="802" t="s">
        <v>192</v>
      </c>
      <c r="CM9" s="802" t="s">
        <v>193</v>
      </c>
      <c r="CN9" s="803" t="s">
        <v>194</v>
      </c>
      <c r="CO9" s="803" t="s">
        <v>195</v>
      </c>
      <c r="CP9" s="804" t="s">
        <v>196</v>
      </c>
      <c r="CQ9" s="1748" t="s">
        <v>1058</v>
      </c>
      <c r="CR9" s="805" t="s">
        <v>194</v>
      </c>
      <c r="CS9" s="805" t="s">
        <v>195</v>
      </c>
      <c r="CT9" s="806" t="s">
        <v>196</v>
      </c>
    </row>
    <row r="10" spans="1:99" s="817" customFormat="1" ht="15" customHeight="1" thickBot="1">
      <c r="A10" s="809"/>
      <c r="B10" s="810"/>
      <c r="C10" s="810" t="s">
        <v>197</v>
      </c>
      <c r="D10" s="810" t="s">
        <v>198</v>
      </c>
      <c r="E10" s="810" t="s">
        <v>199</v>
      </c>
      <c r="F10" s="811" t="s">
        <v>200</v>
      </c>
      <c r="G10" s="811" t="s">
        <v>864</v>
      </c>
      <c r="H10" s="812" t="s">
        <v>188</v>
      </c>
      <c r="I10" s="813" t="s">
        <v>201</v>
      </c>
      <c r="J10" s="813" t="s">
        <v>865</v>
      </c>
      <c r="K10" s="814" t="s">
        <v>188</v>
      </c>
      <c r="L10" s="810"/>
      <c r="M10" s="810" t="s">
        <v>197</v>
      </c>
      <c r="N10" s="810" t="s">
        <v>198</v>
      </c>
      <c r="O10" s="810" t="s">
        <v>199</v>
      </c>
      <c r="P10" s="811" t="s">
        <v>200</v>
      </c>
      <c r="Q10" s="811" t="s">
        <v>864</v>
      </c>
      <c r="R10" s="812" t="s">
        <v>188</v>
      </c>
      <c r="S10" s="813" t="s">
        <v>201</v>
      </c>
      <c r="T10" s="813" t="s">
        <v>865</v>
      </c>
      <c r="U10" s="814" t="s">
        <v>188</v>
      </c>
      <c r="V10" s="810"/>
      <c r="W10" s="810" t="s">
        <v>197</v>
      </c>
      <c r="X10" s="810" t="s">
        <v>198</v>
      </c>
      <c r="Y10" s="810" t="s">
        <v>199</v>
      </c>
      <c r="Z10" s="811" t="s">
        <v>200</v>
      </c>
      <c r="AA10" s="811" t="s">
        <v>864</v>
      </c>
      <c r="AB10" s="812" t="s">
        <v>188</v>
      </c>
      <c r="AC10" s="813" t="s">
        <v>201</v>
      </c>
      <c r="AD10" s="813" t="s">
        <v>865</v>
      </c>
      <c r="AE10" s="814" t="s">
        <v>188</v>
      </c>
      <c r="AF10" s="815"/>
      <c r="AG10" s="810"/>
      <c r="AH10" s="1623" t="s">
        <v>197</v>
      </c>
      <c r="AI10" s="810" t="s">
        <v>198</v>
      </c>
      <c r="AJ10" s="810" t="s">
        <v>199</v>
      </c>
      <c r="AK10" s="811" t="s">
        <v>200</v>
      </c>
      <c r="AL10" s="811" t="s">
        <v>864</v>
      </c>
      <c r="AM10" s="812" t="s">
        <v>188</v>
      </c>
      <c r="AN10" s="813" t="s">
        <v>201</v>
      </c>
      <c r="AO10" s="813" t="s">
        <v>865</v>
      </c>
      <c r="AP10" s="814" t="s">
        <v>188</v>
      </c>
      <c r="AQ10" s="810"/>
      <c r="AR10" s="810"/>
      <c r="AS10" s="1645" t="s">
        <v>197</v>
      </c>
      <c r="AT10" s="810" t="s">
        <v>198</v>
      </c>
      <c r="AU10" s="810" t="s">
        <v>199</v>
      </c>
      <c r="AV10" s="811" t="s">
        <v>200</v>
      </c>
      <c r="AW10" s="811" t="s">
        <v>864</v>
      </c>
      <c r="AX10" s="812" t="s">
        <v>188</v>
      </c>
      <c r="AY10" s="1749" t="s">
        <v>197</v>
      </c>
      <c r="AZ10" s="813" t="s">
        <v>201</v>
      </c>
      <c r="BA10" s="813" t="s">
        <v>865</v>
      </c>
      <c r="BB10" s="814" t="s">
        <v>188</v>
      </c>
      <c r="BC10" s="810"/>
      <c r="BD10" s="1727" t="s">
        <v>197</v>
      </c>
      <c r="BE10" s="810" t="s">
        <v>198</v>
      </c>
      <c r="BF10" s="810" t="s">
        <v>199</v>
      </c>
      <c r="BG10" s="811" t="s">
        <v>200</v>
      </c>
      <c r="BH10" s="811" t="s">
        <v>864</v>
      </c>
      <c r="BI10" s="812" t="s">
        <v>188</v>
      </c>
      <c r="BJ10" s="1749" t="s">
        <v>197</v>
      </c>
      <c r="BK10" s="813" t="s">
        <v>201</v>
      </c>
      <c r="BL10" s="813" t="s">
        <v>865</v>
      </c>
      <c r="BM10" s="814" t="s">
        <v>188</v>
      </c>
      <c r="BN10" s="810"/>
      <c r="BO10" s="1727" t="s">
        <v>197</v>
      </c>
      <c r="BP10" s="810" t="s">
        <v>198</v>
      </c>
      <c r="BQ10" s="810" t="s">
        <v>199</v>
      </c>
      <c r="BR10" s="811" t="s">
        <v>200</v>
      </c>
      <c r="BS10" s="811" t="s">
        <v>864</v>
      </c>
      <c r="BT10" s="812" t="s">
        <v>188</v>
      </c>
      <c r="BU10" s="1749" t="s">
        <v>197</v>
      </c>
      <c r="BV10" s="813" t="s">
        <v>201</v>
      </c>
      <c r="BW10" s="813" t="s">
        <v>865</v>
      </c>
      <c r="BX10" s="814" t="s">
        <v>188</v>
      </c>
      <c r="BY10" s="810"/>
      <c r="BZ10" s="1727" t="s">
        <v>197</v>
      </c>
      <c r="CA10" s="810" t="s">
        <v>198</v>
      </c>
      <c r="CB10" s="810" t="s">
        <v>199</v>
      </c>
      <c r="CC10" s="811" t="s">
        <v>200</v>
      </c>
      <c r="CD10" s="811" t="s">
        <v>864</v>
      </c>
      <c r="CE10" s="812" t="s">
        <v>188</v>
      </c>
      <c r="CF10" s="1749" t="s">
        <v>197</v>
      </c>
      <c r="CG10" s="813" t="s">
        <v>201</v>
      </c>
      <c r="CH10" s="813" t="s">
        <v>865</v>
      </c>
      <c r="CI10" s="814" t="s">
        <v>188</v>
      </c>
      <c r="CJ10" s="810"/>
      <c r="CK10" s="1727" t="s">
        <v>197</v>
      </c>
      <c r="CL10" s="810" t="s">
        <v>198</v>
      </c>
      <c r="CM10" s="810" t="s">
        <v>199</v>
      </c>
      <c r="CN10" s="811" t="s">
        <v>200</v>
      </c>
      <c r="CO10" s="811" t="s">
        <v>864</v>
      </c>
      <c r="CP10" s="812" t="s">
        <v>188</v>
      </c>
      <c r="CQ10" s="1749" t="s">
        <v>197</v>
      </c>
      <c r="CR10" s="813" t="s">
        <v>201</v>
      </c>
      <c r="CS10" s="813" t="s">
        <v>865</v>
      </c>
      <c r="CT10" s="814" t="s">
        <v>188</v>
      </c>
      <c r="CU10" s="816"/>
    </row>
    <row r="11" spans="1:99" ht="15.75" customHeight="1" thickBot="1">
      <c r="A11" s="801"/>
      <c r="B11" s="1933" t="s">
        <v>202</v>
      </c>
      <c r="C11" s="1934"/>
      <c r="D11" s="1934"/>
      <c r="E11" s="1934"/>
      <c r="F11" s="1934"/>
      <c r="G11" s="1934"/>
      <c r="H11" s="1935"/>
      <c r="I11" s="1936" t="s">
        <v>203</v>
      </c>
      <c r="J11" s="1937"/>
      <c r="K11" s="1938"/>
      <c r="L11" s="1933" t="s">
        <v>202</v>
      </c>
      <c r="M11" s="1934"/>
      <c r="N11" s="1934"/>
      <c r="O11" s="1934"/>
      <c r="P11" s="1934"/>
      <c r="Q11" s="1934"/>
      <c r="R11" s="1935"/>
      <c r="S11" s="1936" t="s">
        <v>203</v>
      </c>
      <c r="T11" s="1937"/>
      <c r="U11" s="1938"/>
      <c r="V11" s="1933" t="s">
        <v>202</v>
      </c>
      <c r="W11" s="1934"/>
      <c r="X11" s="1934"/>
      <c r="Y11" s="1934"/>
      <c r="Z11" s="1934"/>
      <c r="AA11" s="1934"/>
      <c r="AB11" s="1935"/>
      <c r="AC11" s="1936" t="s">
        <v>203</v>
      </c>
      <c r="AD11" s="1937"/>
      <c r="AE11" s="1938"/>
      <c r="AF11" s="818"/>
      <c r="AG11" s="1933" t="s">
        <v>202</v>
      </c>
      <c r="AH11" s="1934"/>
      <c r="AI11" s="1934"/>
      <c r="AJ11" s="1934"/>
      <c r="AK11" s="1934"/>
      <c r="AL11" s="1934"/>
      <c r="AM11" s="1935"/>
      <c r="AN11" s="1936" t="s">
        <v>203</v>
      </c>
      <c r="AO11" s="1937"/>
      <c r="AP11" s="1938"/>
      <c r="AQ11" s="1930" t="s">
        <v>202</v>
      </c>
      <c r="AR11" s="1931"/>
      <c r="AS11" s="1931"/>
      <c r="AT11" s="1931"/>
      <c r="AU11" s="1931"/>
      <c r="AV11" s="1931"/>
      <c r="AW11" s="1931"/>
      <c r="AX11" s="1932"/>
      <c r="AY11" s="1750"/>
      <c r="AZ11" s="1936" t="s">
        <v>203</v>
      </c>
      <c r="BA11" s="1937"/>
      <c r="BB11" s="1938"/>
      <c r="BC11" s="1933" t="s">
        <v>202</v>
      </c>
      <c r="BD11" s="1934"/>
      <c r="BE11" s="1934"/>
      <c r="BF11" s="1934"/>
      <c r="BG11" s="1934"/>
      <c r="BH11" s="1934"/>
      <c r="BI11" s="1935"/>
      <c r="BJ11" s="1750"/>
      <c r="BK11" s="1936" t="s">
        <v>203</v>
      </c>
      <c r="BL11" s="1937"/>
      <c r="BM11" s="1938"/>
      <c r="BN11" s="1933" t="s">
        <v>202</v>
      </c>
      <c r="BO11" s="1934"/>
      <c r="BP11" s="1934"/>
      <c r="BQ11" s="1934"/>
      <c r="BR11" s="1934"/>
      <c r="BS11" s="1934"/>
      <c r="BT11" s="1935"/>
      <c r="BU11" s="1750"/>
      <c r="BV11" s="1936" t="s">
        <v>203</v>
      </c>
      <c r="BW11" s="1937"/>
      <c r="BX11" s="1938"/>
      <c r="BY11" s="1933" t="s">
        <v>202</v>
      </c>
      <c r="BZ11" s="1934"/>
      <c r="CA11" s="1934"/>
      <c r="CB11" s="1934"/>
      <c r="CC11" s="1934"/>
      <c r="CD11" s="1934"/>
      <c r="CE11" s="1935"/>
      <c r="CF11" s="1750"/>
      <c r="CG11" s="1936" t="s">
        <v>203</v>
      </c>
      <c r="CH11" s="1937"/>
      <c r="CI11" s="1938"/>
      <c r="CJ11" s="1933" t="s">
        <v>202</v>
      </c>
      <c r="CK11" s="1934"/>
      <c r="CL11" s="1934"/>
      <c r="CM11" s="1934"/>
      <c r="CN11" s="1934"/>
      <c r="CO11" s="1934"/>
      <c r="CP11" s="1935"/>
      <c r="CQ11" s="1750"/>
      <c r="CR11" s="1936" t="s">
        <v>203</v>
      </c>
      <c r="CS11" s="1937"/>
      <c r="CT11" s="1938"/>
    </row>
    <row r="12" spans="1:99">
      <c r="A12" s="819" t="s">
        <v>10</v>
      </c>
      <c r="B12" s="820"/>
      <c r="C12" s="820"/>
      <c r="D12" s="820"/>
      <c r="E12" s="820"/>
      <c r="F12" s="821"/>
      <c r="G12" s="821"/>
      <c r="H12" s="822"/>
      <c r="I12" s="823"/>
      <c r="J12" s="823"/>
      <c r="K12" s="824"/>
      <c r="L12" s="820"/>
      <c r="M12" s="820"/>
      <c r="N12" s="820"/>
      <c r="O12" s="820"/>
      <c r="P12" s="821"/>
      <c r="Q12" s="821"/>
      <c r="R12" s="822"/>
      <c r="S12" s="823"/>
      <c r="T12" s="823"/>
      <c r="U12" s="824"/>
      <c r="V12" s="825"/>
      <c r="W12" s="820"/>
      <c r="X12" s="820"/>
      <c r="Y12" s="820"/>
      <c r="Z12" s="821"/>
      <c r="AA12" s="821"/>
      <c r="AB12" s="822"/>
      <c r="AC12" s="823"/>
      <c r="AD12" s="823"/>
      <c r="AE12" s="824"/>
      <c r="AF12" s="795" t="s">
        <v>10</v>
      </c>
      <c r="AG12" s="820"/>
      <c r="AH12" s="1624"/>
      <c r="AI12" s="820"/>
      <c r="AJ12" s="820"/>
      <c r="AK12" s="821"/>
      <c r="AL12" s="821"/>
      <c r="AM12" s="822"/>
      <c r="AN12" s="823"/>
      <c r="AO12" s="823"/>
      <c r="AP12" s="824"/>
      <c r="AQ12" s="795" t="s">
        <v>10</v>
      </c>
      <c r="AR12" s="820"/>
      <c r="AS12" s="1646"/>
      <c r="AT12" s="820"/>
      <c r="AU12" s="820"/>
      <c r="AV12" s="821"/>
      <c r="AW12" s="821"/>
      <c r="AX12" s="822"/>
      <c r="AY12" s="1751"/>
      <c r="AZ12" s="823"/>
      <c r="BA12" s="823"/>
      <c r="BB12" s="824"/>
      <c r="BC12" s="820"/>
      <c r="BD12" s="1728"/>
      <c r="BE12" s="820"/>
      <c r="BF12" s="820"/>
      <c r="BG12" s="821"/>
      <c r="BH12" s="821"/>
      <c r="BI12" s="822"/>
      <c r="BJ12" s="1751"/>
      <c r="BK12" s="823"/>
      <c r="BL12" s="823"/>
      <c r="BM12" s="824"/>
      <c r="BN12" s="820"/>
      <c r="BO12" s="1728"/>
      <c r="BP12" s="820"/>
      <c r="BQ12" s="820"/>
      <c r="BR12" s="821"/>
      <c r="BS12" s="821"/>
      <c r="BT12" s="822"/>
      <c r="BU12" s="1751"/>
      <c r="BV12" s="823"/>
      <c r="BW12" s="823"/>
      <c r="BX12" s="824"/>
      <c r="BY12" s="820"/>
      <c r="BZ12" s="1728"/>
      <c r="CA12" s="820"/>
      <c r="CB12" s="820"/>
      <c r="CC12" s="821"/>
      <c r="CD12" s="821"/>
      <c r="CE12" s="822"/>
      <c r="CF12" s="1751"/>
      <c r="CG12" s="823"/>
      <c r="CH12" s="823"/>
      <c r="CI12" s="824"/>
      <c r="CJ12" s="820"/>
      <c r="CK12" s="1728"/>
      <c r="CL12" s="820"/>
      <c r="CM12" s="820"/>
      <c r="CN12" s="821"/>
      <c r="CO12" s="821"/>
      <c r="CP12" s="822"/>
      <c r="CQ12" s="1751"/>
      <c r="CR12" s="823"/>
      <c r="CS12" s="823"/>
      <c r="CT12" s="824"/>
    </row>
    <row r="13" spans="1:99">
      <c r="A13" s="826" t="s">
        <v>11</v>
      </c>
      <c r="B13" s="827"/>
      <c r="C13" s="827"/>
      <c r="D13" s="827"/>
      <c r="E13" s="827"/>
      <c r="F13" s="828"/>
      <c r="G13" s="828"/>
      <c r="H13" s="829"/>
      <c r="I13" s="830"/>
      <c r="J13" s="830"/>
      <c r="K13" s="831"/>
      <c r="L13" s="827"/>
      <c r="M13" s="827"/>
      <c r="N13" s="827"/>
      <c r="O13" s="827"/>
      <c r="P13" s="828"/>
      <c r="Q13" s="828"/>
      <c r="R13" s="829"/>
      <c r="S13" s="830"/>
      <c r="T13" s="830"/>
      <c r="U13" s="831"/>
      <c r="V13" s="832"/>
      <c r="W13" s="827"/>
      <c r="X13" s="827"/>
      <c r="Y13" s="827"/>
      <c r="Z13" s="828"/>
      <c r="AA13" s="828"/>
      <c r="AB13" s="829"/>
      <c r="AC13" s="830"/>
      <c r="AD13" s="830"/>
      <c r="AE13" s="831"/>
      <c r="AF13" s="826" t="s">
        <v>11</v>
      </c>
      <c r="AG13" s="827"/>
      <c r="AH13" s="1625"/>
      <c r="AI13" s="827"/>
      <c r="AJ13" s="827"/>
      <c r="AK13" s="828"/>
      <c r="AL13" s="828"/>
      <c r="AM13" s="829"/>
      <c r="AN13" s="830"/>
      <c r="AO13" s="830"/>
      <c r="AP13" s="831"/>
      <c r="AQ13" s="826" t="s">
        <v>11</v>
      </c>
      <c r="AR13" s="827"/>
      <c r="AS13" s="1647"/>
      <c r="AT13" s="827"/>
      <c r="AU13" s="827"/>
      <c r="AV13" s="828"/>
      <c r="AW13" s="828"/>
      <c r="AX13" s="829"/>
      <c r="AY13" s="1761"/>
      <c r="AZ13" s="830"/>
      <c r="BA13" s="830"/>
      <c r="BB13" s="831"/>
      <c r="BC13" s="827"/>
      <c r="BD13" s="1729"/>
      <c r="BE13" s="827"/>
      <c r="BF13" s="827"/>
      <c r="BG13" s="828"/>
      <c r="BH13" s="828"/>
      <c r="BI13" s="829"/>
      <c r="BJ13" s="1761"/>
      <c r="BK13" s="830"/>
      <c r="BL13" s="830"/>
      <c r="BM13" s="831"/>
      <c r="BN13" s="827"/>
      <c r="BO13" s="1729"/>
      <c r="BP13" s="827"/>
      <c r="BQ13" s="827"/>
      <c r="BR13" s="828"/>
      <c r="BS13" s="828"/>
      <c r="BT13" s="829"/>
      <c r="BU13" s="1761"/>
      <c r="BV13" s="830"/>
      <c r="BW13" s="830"/>
      <c r="BX13" s="831"/>
      <c r="BY13" s="827"/>
      <c r="BZ13" s="1729"/>
      <c r="CA13" s="827"/>
      <c r="CB13" s="827"/>
      <c r="CC13" s="828"/>
      <c r="CD13" s="828"/>
      <c r="CE13" s="829"/>
      <c r="CF13" s="1761"/>
      <c r="CG13" s="830"/>
      <c r="CH13" s="830"/>
      <c r="CI13" s="831"/>
      <c r="CJ13" s="827"/>
      <c r="CK13" s="1729"/>
      <c r="CL13" s="827"/>
      <c r="CM13" s="827"/>
      <c r="CN13" s="828"/>
      <c r="CO13" s="828"/>
      <c r="CP13" s="829"/>
      <c r="CQ13" s="1761"/>
      <c r="CR13" s="830"/>
      <c r="CS13" s="830"/>
      <c r="CT13" s="831"/>
    </row>
    <row r="14" spans="1:99" ht="15">
      <c r="A14" s="833" t="str">
        <f>Banding!C6</f>
        <v xml:space="preserve">0-6m3 </v>
      </c>
      <c r="B14" s="834">
        <v>15</v>
      </c>
      <c r="C14" s="835">
        <v>45</v>
      </c>
      <c r="D14" s="836">
        <f>Banding!F6</f>
        <v>1954.6000000000001</v>
      </c>
      <c r="E14" s="837">
        <v>50</v>
      </c>
      <c r="F14" s="836">
        <f>Banding!G6</f>
        <v>953417.08</v>
      </c>
      <c r="G14" s="838">
        <f t="shared" ref="G14:G19" si="0">(C14*F14)+(D14*E14*12)</f>
        <v>44076528.600000001</v>
      </c>
      <c r="H14" s="839">
        <f t="shared" ref="H14:H19" si="1">G14/$G$48</f>
        <v>0.25192240693946916</v>
      </c>
      <c r="I14" s="840">
        <f>F14*$D$75</f>
        <v>715062.80999999994</v>
      </c>
      <c r="J14" s="840">
        <f t="shared" ref="J14:J19" si="2">(I14*C14*$E$75)</f>
        <v>10489971.422699999</v>
      </c>
      <c r="K14" s="841">
        <f t="shared" ref="K14:K19" si="3">J14/$J$48</f>
        <v>0.26800387085111893</v>
      </c>
      <c r="L14" s="834">
        <v>15</v>
      </c>
      <c r="M14" s="835">
        <v>45</v>
      </c>
      <c r="N14" s="836">
        <f>Banding!H6</f>
        <v>2001.8000000000002</v>
      </c>
      <c r="O14" s="837">
        <f t="shared" ref="O14:O19" si="4">E14</f>
        <v>50</v>
      </c>
      <c r="P14" s="836">
        <f>Banding!I6</f>
        <v>1026252.92</v>
      </c>
      <c r="Q14" s="838">
        <f t="shared" ref="Q14:Q19" si="5">(M14*P14)+(N14*O14*12)</f>
        <v>47382461.399999999</v>
      </c>
      <c r="R14" s="842">
        <f t="shared" ref="R14:R19" si="6">Q14/$Q$48</f>
        <v>0.26299624187820581</v>
      </c>
      <c r="S14" s="840">
        <f t="shared" ref="S14:S19" si="7">P14*$D$75</f>
        <v>769689.69000000006</v>
      </c>
      <c r="T14" s="840">
        <f>(S14*M14*$E$75)</f>
        <v>11291347.752300002</v>
      </c>
      <c r="U14" s="841">
        <f t="shared" ref="U14:U19" si="8">T14/$T$48</f>
        <v>0.56833376893825016</v>
      </c>
      <c r="V14" s="843">
        <f t="shared" ref="V14:W19" si="9">L14</f>
        <v>15</v>
      </c>
      <c r="W14" s="835">
        <f t="shared" si="9"/>
        <v>45</v>
      </c>
      <c r="X14" s="836">
        <f>Banding!J6</f>
        <v>2050.6</v>
      </c>
      <c r="Y14" s="837">
        <f t="shared" ref="Y14:Y19" si="10">O14</f>
        <v>50</v>
      </c>
      <c r="Z14" s="836">
        <f>Banding!K6</f>
        <v>1026252.92</v>
      </c>
      <c r="AA14" s="838">
        <f t="shared" ref="AA14:AA19" si="11">(W14*Z14)+(X14*Y14*12)</f>
        <v>47411741.399999999</v>
      </c>
      <c r="AB14" s="844">
        <f t="shared" ref="AB14:AB19" si="12">AA14/$AA$48</f>
        <v>0.25722898059133542</v>
      </c>
      <c r="AC14" s="840">
        <f>Z14*$D$75</f>
        <v>769689.69000000006</v>
      </c>
      <c r="AD14" s="840">
        <f t="shared" ref="AD14:AD19" si="13">(AC14*W14*$E$75)</f>
        <v>11291347.752300002</v>
      </c>
      <c r="AE14" s="841">
        <f t="shared" ref="AE14:AE19" si="14">AD14/$AD$48</f>
        <v>0.26585045138820806</v>
      </c>
      <c r="AF14" s="845" t="str">
        <f>Banding!L6</f>
        <v xml:space="preserve">1-6m3 </v>
      </c>
      <c r="AG14" s="834">
        <f t="shared" ref="AG14:AG19" si="15">V14</f>
        <v>15</v>
      </c>
      <c r="AH14" s="1626">
        <f t="shared" ref="AH14:AH19" si="16">W14</f>
        <v>45</v>
      </c>
      <c r="AI14" s="836">
        <f>Banding!O6</f>
        <v>2091.5574917717254</v>
      </c>
      <c r="AJ14" s="837">
        <f t="shared" ref="AJ14" si="17">Y14</f>
        <v>50</v>
      </c>
      <c r="AK14" s="836">
        <f>Banding!P6</f>
        <v>1061526.3999999999</v>
      </c>
      <c r="AL14" s="838">
        <f>(AH14*AK14)+(AI14*AJ14*12)</f>
        <v>49023622.495063029</v>
      </c>
      <c r="AM14" s="844">
        <f t="shared" ref="AM14:AM19" si="18">AL14/$AL$48</f>
        <v>0.2409033103161039</v>
      </c>
      <c r="AN14" s="846">
        <f t="shared" ref="AN14:AN19" si="19">AK14*$D$75</f>
        <v>796144.79999999993</v>
      </c>
      <c r="AO14" s="840">
        <f>(AN14*AH14*$E$75)</f>
        <v>11679444.216</v>
      </c>
      <c r="AP14" s="841">
        <f t="shared" ref="AP14:AP19" si="20">AO14/$AO$48</f>
        <v>0.26197697030902589</v>
      </c>
      <c r="AQ14" s="1473" t="str">
        <f>Banding!L6</f>
        <v xml:space="preserve">1-6m3 </v>
      </c>
      <c r="AR14" s="834">
        <v>15</v>
      </c>
      <c r="AS14" s="1648">
        <v>80</v>
      </c>
      <c r="AT14" s="836">
        <f>Banding!Q6</f>
        <v>2133.38864160716</v>
      </c>
      <c r="AU14" s="837">
        <v>50</v>
      </c>
      <c r="AV14" s="836">
        <f>Banding!R6</f>
        <v>1333146.2691639699</v>
      </c>
      <c r="AW14" s="838">
        <f>(AS14*AV14)+(AT14*AU14*12)</f>
        <v>107931734.71808189</v>
      </c>
      <c r="AX14" s="844">
        <f t="shared" ref="AX14:AX19" si="21">AW14/$AW$48</f>
        <v>0.27563320546899595</v>
      </c>
      <c r="AY14" s="1762">
        <v>45</v>
      </c>
      <c r="AZ14" s="840">
        <f>AV14*$D$75</f>
        <v>999859.70187297743</v>
      </c>
      <c r="BA14" s="840">
        <f>(AZ14*AY14*$E$75)</f>
        <v>14667941.82647658</v>
      </c>
      <c r="BB14" s="841">
        <f t="shared" ref="BB14:BB19" si="22">BA14/$BA$48</f>
        <v>0.25156014653133979</v>
      </c>
      <c r="BC14" s="834">
        <f t="shared" ref="BC14:BC19" si="23">AR14</f>
        <v>15</v>
      </c>
      <c r="BD14" s="1730">
        <f>AS14</f>
        <v>80</v>
      </c>
      <c r="BE14" s="836">
        <f>Banding!S6</f>
        <v>2176.0564144393034</v>
      </c>
      <c r="BF14" s="837">
        <f t="shared" ref="BF14:BF19" si="24">AU14</f>
        <v>50</v>
      </c>
      <c r="BG14" s="836">
        <f>Banding!T6</f>
        <v>1333146.2691639699</v>
      </c>
      <c r="BH14" s="838">
        <f t="shared" ref="BH14:BH19" si="25">(BD14*BG14)+(BE14*BF14*12)</f>
        <v>107957335.38178118</v>
      </c>
      <c r="BI14" s="844">
        <f t="shared" ref="BI14:BI19" si="26">BH14/$BH$48</f>
        <v>0.27307442325427667</v>
      </c>
      <c r="BJ14" s="1762">
        <v>45</v>
      </c>
      <c r="BK14" s="840">
        <f t="shared" ref="BK14:BK19" si="27">BG14*$D$75</f>
        <v>999859.70187297743</v>
      </c>
      <c r="BL14" s="840">
        <f>(BK14*BJ14*$E$75)</f>
        <v>14667941.82647658</v>
      </c>
      <c r="BM14" s="847">
        <f t="shared" ref="BM14:BM19" si="28">BL14/$BL$48</f>
        <v>0.25627932641121132</v>
      </c>
      <c r="BN14" s="834">
        <f t="shared" ref="BN14:BN19" si="29">BC14</f>
        <v>15</v>
      </c>
      <c r="BO14" s="1730">
        <f>BD14</f>
        <v>80</v>
      </c>
      <c r="BP14" s="836">
        <f>Banding!U6</f>
        <v>2219.5775427280892</v>
      </c>
      <c r="BQ14" s="837">
        <f t="shared" ref="BQ14:BQ19" si="30">BF14</f>
        <v>50</v>
      </c>
      <c r="BR14" s="836">
        <f>Banding!V6</f>
        <v>1353043.9746738798</v>
      </c>
      <c r="BS14" s="838">
        <f t="shared" ref="BS14:BS19" si="31">(BO14*BR14)+(BP14*BQ14*12)</f>
        <v>109575264.49954724</v>
      </c>
      <c r="BT14" s="844">
        <f t="shared" ref="BT14:BT19" si="32">BS14/$BS$48</f>
        <v>0.27304473938502516</v>
      </c>
      <c r="BU14" s="1762">
        <v>45</v>
      </c>
      <c r="BV14" s="840">
        <f t="shared" ref="BV14:BV19" si="33">BR14*$D$75</f>
        <v>1014782.9810054098</v>
      </c>
      <c r="BW14" s="840">
        <f>(BV14*BU14*$E$75)</f>
        <v>14886866.331349364</v>
      </c>
      <c r="BX14" s="847">
        <f t="shared" ref="BX14:BX19" si="34">BW14/$BW$48</f>
        <v>0.25627932641121126</v>
      </c>
      <c r="BY14" s="834">
        <f t="shared" ref="BY14:BY19" si="35">BN14</f>
        <v>15</v>
      </c>
      <c r="BZ14" s="1730">
        <f>BO14</f>
        <v>80</v>
      </c>
      <c r="CA14" s="836">
        <f>Banding!W6</f>
        <v>2263.9690935826511</v>
      </c>
      <c r="CB14" s="837">
        <f t="shared" ref="CB14:CB19" si="36">BQ14</f>
        <v>50</v>
      </c>
      <c r="CC14" s="836">
        <f>Banding!X6</f>
        <v>1372941.6801837899</v>
      </c>
      <c r="CD14" s="838">
        <f t="shared" ref="CD14:CD19" si="37">(BZ14*CC14)+(CA14*CB14*12)</f>
        <v>111193715.87085278</v>
      </c>
      <c r="CE14" s="844">
        <f t="shared" ref="CE14:CE19" si="38">CD14/$CD$48</f>
        <v>0.27301362082672898</v>
      </c>
      <c r="CF14" s="1762">
        <v>45</v>
      </c>
      <c r="CG14" s="840">
        <f t="shared" ref="CG14:CG19" si="39">CC14*$D$75</f>
        <v>1029706.2601378425</v>
      </c>
      <c r="CH14" s="840">
        <f>(CG14*CF14*$E$75)</f>
        <v>15105790.836222149</v>
      </c>
      <c r="CI14" s="847">
        <f t="shared" ref="CI14:CI19" si="40">CH14/$CH$48</f>
        <v>0.25627932641121126</v>
      </c>
      <c r="CJ14" s="834">
        <f t="shared" ref="CJ14:CJ19" si="41">BY14</f>
        <v>15</v>
      </c>
      <c r="CK14" s="1730">
        <f>BZ14</f>
        <v>80</v>
      </c>
      <c r="CL14" s="836">
        <f>Banding!Y6</f>
        <v>2309.2484754543043</v>
      </c>
      <c r="CM14" s="837">
        <f t="shared" ref="CM14:CM19" si="42">CB14</f>
        <v>50</v>
      </c>
      <c r="CN14" s="836">
        <f>Banding!Z6</f>
        <v>1392839.3856937001</v>
      </c>
      <c r="CO14" s="838">
        <f t="shared" ref="CO14:CO19" si="43">(CK14*CN14)+(CL14*CM14*12)</f>
        <v>112812699.94076858</v>
      </c>
      <c r="CP14" s="844">
        <f t="shared" ref="CP14:CP19" si="44">CO14/$CO$48</f>
        <v>0.27298108558685219</v>
      </c>
      <c r="CQ14" s="1762">
        <v>45</v>
      </c>
      <c r="CR14" s="840">
        <f t="shared" ref="CR14:CR19" si="45">CN14*$D$75</f>
        <v>1044629.539270275</v>
      </c>
      <c r="CS14" s="840">
        <f>(CR14*CQ14*$E$75)</f>
        <v>15324715.341094935</v>
      </c>
      <c r="CT14" s="841">
        <f t="shared" ref="CT14:CT19" si="46">CS14/$CS$48</f>
        <v>0.25627932641121126</v>
      </c>
    </row>
    <row r="15" spans="1:99" ht="15">
      <c r="A15" s="833" t="str">
        <f>Banding!C7</f>
        <v xml:space="preserve">7-20m3 </v>
      </c>
      <c r="B15" s="834">
        <v>15</v>
      </c>
      <c r="C15" s="835">
        <v>67.5</v>
      </c>
      <c r="D15" s="836">
        <f>Banding!F7</f>
        <v>11923.06</v>
      </c>
      <c r="E15" s="837">
        <v>50</v>
      </c>
      <c r="F15" s="836">
        <f>Banding!G7</f>
        <v>1018422.7899999999</v>
      </c>
      <c r="G15" s="838">
        <f t="shared" si="0"/>
        <v>75897374.324999988</v>
      </c>
      <c r="H15" s="839">
        <f t="shared" si="1"/>
        <v>0.43379662209468706</v>
      </c>
      <c r="I15" s="840">
        <f t="shared" ref="I15:I19" si="47">F15*$D$75</f>
        <v>763817.09249999991</v>
      </c>
      <c r="J15" s="840">
        <f>(I15*C15*$E$75)</f>
        <v>16807795.1204625</v>
      </c>
      <c r="K15" s="841">
        <f t="shared" si="3"/>
        <v>0.42941529306827009</v>
      </c>
      <c r="L15" s="834">
        <v>15</v>
      </c>
      <c r="M15" s="835">
        <v>67.5</v>
      </c>
      <c r="N15" s="836">
        <f>Banding!H7</f>
        <v>12210.98</v>
      </c>
      <c r="O15" s="837">
        <f t="shared" si="4"/>
        <v>50</v>
      </c>
      <c r="P15" s="836">
        <f>Banding!I7</f>
        <v>1096224.71</v>
      </c>
      <c r="Q15" s="838">
        <f t="shared" si="5"/>
        <v>81321755.924999997</v>
      </c>
      <c r="R15" s="842">
        <f t="shared" si="6"/>
        <v>0.45137621726024807</v>
      </c>
      <c r="S15" s="840">
        <f t="shared" si="7"/>
        <v>822168.53249999997</v>
      </c>
      <c r="T15" s="840"/>
      <c r="U15" s="841">
        <f t="shared" si="8"/>
        <v>0</v>
      </c>
      <c r="V15" s="843"/>
      <c r="W15" s="835">
        <f t="shared" si="9"/>
        <v>67.5</v>
      </c>
      <c r="X15" s="836">
        <f>Banding!J7</f>
        <v>12508.66</v>
      </c>
      <c r="Y15" s="837">
        <f t="shared" si="10"/>
        <v>50</v>
      </c>
      <c r="Z15" s="836">
        <f>Banding!K7</f>
        <v>1096224.71</v>
      </c>
      <c r="AA15" s="838">
        <f t="shared" si="11"/>
        <v>81500363.924999997</v>
      </c>
      <c r="AB15" s="844">
        <f t="shared" si="12"/>
        <v>0.44217434144383899</v>
      </c>
      <c r="AC15" s="840">
        <f>Z15*$D$75</f>
        <v>822168.53249999997</v>
      </c>
      <c r="AD15" s="840">
        <f t="shared" si="13"/>
        <v>18091818.557662502</v>
      </c>
      <c r="AE15" s="841">
        <f t="shared" si="14"/>
        <v>0.42596492779246975</v>
      </c>
      <c r="AF15" s="845" t="str">
        <f>Banding!L7</f>
        <v xml:space="preserve">7-20m3 </v>
      </c>
      <c r="AG15" s="834">
        <f t="shared" si="15"/>
        <v>0</v>
      </c>
      <c r="AH15" s="1626">
        <f t="shared" si="16"/>
        <v>67.5</v>
      </c>
      <c r="AI15" s="836">
        <f>Banding!O7</f>
        <v>12758.500699807526</v>
      </c>
      <c r="AJ15" s="837">
        <f>Y15</f>
        <v>50</v>
      </c>
      <c r="AK15" s="836">
        <f>Banding!P7</f>
        <v>1133903.2</v>
      </c>
      <c r="AL15" s="838">
        <f>(AH15*AK15)+(AI15*AJ15*12)</f>
        <v>84193566.419884518</v>
      </c>
      <c r="AM15" s="844">
        <f t="shared" si="18"/>
        <v>0.41372929672652226</v>
      </c>
      <c r="AN15" s="840">
        <f t="shared" si="19"/>
        <v>850427.39999999991</v>
      </c>
      <c r="AO15" s="840">
        <f t="shared" ref="AO15:AO19" si="48">(AN15*AH15*$E$75)</f>
        <v>18713654.936999999</v>
      </c>
      <c r="AP15" s="841">
        <f t="shared" si="20"/>
        <v>0.4197585546996892</v>
      </c>
      <c r="AQ15" s="845" t="str">
        <f>Banding!L7</f>
        <v xml:space="preserve">7-20m3 </v>
      </c>
      <c r="AR15" s="834">
        <v>15</v>
      </c>
      <c r="AS15" s="1648">
        <v>110</v>
      </c>
      <c r="AT15" s="836">
        <f>Banding!Q7</f>
        <v>13013.670713803676</v>
      </c>
      <c r="AU15" s="837">
        <v>50</v>
      </c>
      <c r="AV15" s="836">
        <f>Banding!R7</f>
        <v>1463794.7303524592</v>
      </c>
      <c r="AW15" s="838">
        <f t="shared" ref="AW15:AW19" si="49">(AS15*AV15)+(AT15*AU15*12)</f>
        <v>168825622.76705271</v>
      </c>
      <c r="AX15" s="844">
        <f t="shared" si="21"/>
        <v>0.43114240394754227</v>
      </c>
      <c r="AY15" s="1762">
        <v>70</v>
      </c>
      <c r="AZ15" s="840">
        <f>AV15*$D$75</f>
        <v>1097846.0477643444</v>
      </c>
      <c r="BA15" s="840">
        <f t="shared" ref="BA15:BA18" si="50">(AZ15*AY15*$E$75)</f>
        <v>25052846.809982337</v>
      </c>
      <c r="BB15" s="841">
        <f t="shared" si="22"/>
        <v>0.4296647674979398</v>
      </c>
      <c r="BC15" s="834">
        <f t="shared" si="23"/>
        <v>15</v>
      </c>
      <c r="BD15" s="1730">
        <f>AS15</f>
        <v>110</v>
      </c>
      <c r="BE15" s="836">
        <f>Banding!S7</f>
        <v>13273.944128079749</v>
      </c>
      <c r="BF15" s="837">
        <f t="shared" si="24"/>
        <v>50</v>
      </c>
      <c r="BG15" s="836">
        <f>Banding!T7</f>
        <v>1463794.7303524592</v>
      </c>
      <c r="BH15" s="838">
        <f t="shared" si="25"/>
        <v>168981786.81561837</v>
      </c>
      <c r="BI15" s="844">
        <f t="shared" si="26"/>
        <v>0.42743370621334786</v>
      </c>
      <c r="BJ15" s="1762">
        <v>67</v>
      </c>
      <c r="BK15" s="840">
        <f t="shared" si="27"/>
        <v>1097846.0477643444</v>
      </c>
      <c r="BL15" s="840">
        <f t="shared" ref="BL15:BL19" si="51">(BK15*BJ15*$E$75)</f>
        <v>23979153.375268813</v>
      </c>
      <c r="BM15" s="847">
        <f t="shared" si="28"/>
        <v>0.4189654791125666</v>
      </c>
      <c r="BN15" s="834">
        <f t="shared" si="29"/>
        <v>15</v>
      </c>
      <c r="BO15" s="1730">
        <f t="shared" ref="BO15:BO19" si="52">BD15</f>
        <v>110</v>
      </c>
      <c r="BP15" s="836">
        <f>Banding!U7</f>
        <v>13539.423010641343</v>
      </c>
      <c r="BQ15" s="837">
        <f t="shared" si="30"/>
        <v>50</v>
      </c>
      <c r="BR15" s="836">
        <f>Banding!V7</f>
        <v>1485642.4128950331</v>
      </c>
      <c r="BS15" s="838">
        <f t="shared" si="31"/>
        <v>171544319.22483844</v>
      </c>
      <c r="BT15" s="844">
        <f t="shared" si="32"/>
        <v>0.42746211154179881</v>
      </c>
      <c r="BU15" s="1762">
        <v>67</v>
      </c>
      <c r="BV15" s="840">
        <f t="shared" si="33"/>
        <v>1114231.8096712749</v>
      </c>
      <c r="BW15" s="840">
        <f t="shared" ref="BW15:BW19" si="53">(BV15*BU15*$E$75)</f>
        <v>24337051.186839983</v>
      </c>
      <c r="BX15" s="847">
        <f t="shared" si="34"/>
        <v>0.41896547911256643</v>
      </c>
      <c r="BY15" s="834">
        <f t="shared" si="35"/>
        <v>15</v>
      </c>
      <c r="BZ15" s="1730">
        <f t="shared" ref="BZ15:BZ19" si="54">BO15</f>
        <v>110</v>
      </c>
      <c r="CA15" s="836">
        <f>Banding!W7</f>
        <v>13810.211470854172</v>
      </c>
      <c r="CB15" s="837">
        <f t="shared" si="36"/>
        <v>50</v>
      </c>
      <c r="CC15" s="836">
        <f>Banding!X7</f>
        <v>1507490.0954376073</v>
      </c>
      <c r="CD15" s="838">
        <f t="shared" si="37"/>
        <v>174110037.3806493</v>
      </c>
      <c r="CE15" s="844">
        <f t="shared" si="38"/>
        <v>0.4274918897645042</v>
      </c>
      <c r="CF15" s="1762">
        <v>67</v>
      </c>
      <c r="CG15" s="840">
        <f t="shared" si="39"/>
        <v>1130617.5715782056</v>
      </c>
      <c r="CH15" s="840">
        <f t="shared" ref="CH15:CH19" si="55">(CG15*CF15*$E$75)</f>
        <v>24694948.998411167</v>
      </c>
      <c r="CI15" s="847">
        <f t="shared" si="40"/>
        <v>0.41896547911256654</v>
      </c>
      <c r="CJ15" s="834">
        <f t="shared" si="41"/>
        <v>15</v>
      </c>
      <c r="CK15" s="1730">
        <f t="shared" ref="CK15:CK19" si="56">BZ15</f>
        <v>110</v>
      </c>
      <c r="CL15" s="836">
        <f>Banding!Y7</f>
        <v>14086.415700271255</v>
      </c>
      <c r="CM15" s="837">
        <f t="shared" si="42"/>
        <v>50</v>
      </c>
      <c r="CN15" s="836">
        <f>Banding!Z7</f>
        <v>1529337.7779801814</v>
      </c>
      <c r="CO15" s="838">
        <f t="shared" si="43"/>
        <v>176679004.99798268</v>
      </c>
      <c r="CP15" s="844">
        <f t="shared" si="44"/>
        <v>0.42752302364961559</v>
      </c>
      <c r="CQ15" s="1762">
        <v>67</v>
      </c>
      <c r="CR15" s="840">
        <f t="shared" si="45"/>
        <v>1147003.333485136</v>
      </c>
      <c r="CS15" s="840">
        <f t="shared" ref="CS15:CS18" si="57">(CR15*CQ15*$E$75)</f>
        <v>25052846.809982345</v>
      </c>
      <c r="CT15" s="841">
        <f t="shared" si="46"/>
        <v>0.41896547911256654</v>
      </c>
    </row>
    <row r="16" spans="1:99" ht="15">
      <c r="A16" s="833" t="str">
        <f>Banding!C8</f>
        <v xml:space="preserve">21-50m3 </v>
      </c>
      <c r="B16" s="834">
        <v>15</v>
      </c>
      <c r="C16" s="835">
        <v>87.75</v>
      </c>
      <c r="D16" s="836">
        <f>Banding!F8</f>
        <v>3322.82</v>
      </c>
      <c r="E16" s="837">
        <v>50</v>
      </c>
      <c r="F16" s="836">
        <f>Banding!G8</f>
        <v>108342.85</v>
      </c>
      <c r="G16" s="838">
        <f t="shared" si="0"/>
        <v>11500777.0875</v>
      </c>
      <c r="H16" s="839">
        <f t="shared" si="1"/>
        <v>6.5733476241985583E-2</v>
      </c>
      <c r="I16" s="840">
        <f t="shared" si="47"/>
        <v>81257.137500000012</v>
      </c>
      <c r="J16" s="840">
        <f t="shared" si="2"/>
        <v>2324482.3038937505</v>
      </c>
      <c r="K16" s="841">
        <f t="shared" si="3"/>
        <v>5.9387221381782047E-2</v>
      </c>
      <c r="L16" s="834">
        <v>15</v>
      </c>
      <c r="M16" s="835">
        <v>87.75</v>
      </c>
      <c r="N16" s="836">
        <f>Banding!H8</f>
        <v>3403.0600000000004</v>
      </c>
      <c r="O16" s="837">
        <f t="shared" si="4"/>
        <v>50</v>
      </c>
      <c r="P16" s="836">
        <f>Banding!I8</f>
        <v>116619.65000000001</v>
      </c>
      <c r="Q16" s="838">
        <f t="shared" si="5"/>
        <v>12275210.287500001</v>
      </c>
      <c r="R16" s="842">
        <f t="shared" si="6"/>
        <v>6.8133526171715322E-2</v>
      </c>
      <c r="S16" s="840">
        <f t="shared" si="7"/>
        <v>87464.737500000003</v>
      </c>
      <c r="T16" s="840"/>
      <c r="U16" s="841">
        <f t="shared" si="8"/>
        <v>0</v>
      </c>
      <c r="V16" s="843"/>
      <c r="W16" s="835">
        <f t="shared" si="9"/>
        <v>87.75</v>
      </c>
      <c r="X16" s="836">
        <f>Banding!J8</f>
        <v>3486.0200000000004</v>
      </c>
      <c r="Y16" s="837">
        <f t="shared" si="10"/>
        <v>50</v>
      </c>
      <c r="Z16" s="836">
        <f>Banding!K8</f>
        <v>116619.65000000001</v>
      </c>
      <c r="AA16" s="838">
        <f t="shared" si="11"/>
        <v>12324986.287500001</v>
      </c>
      <c r="AB16" s="844">
        <f t="shared" si="12"/>
        <v>6.6868323434663229E-2</v>
      </c>
      <c r="AC16" s="840">
        <f t="shared" ref="AC16:AC19" si="58">Z16*$D$75</f>
        <v>87464.737500000003</v>
      </c>
      <c r="AD16" s="840">
        <f t="shared" si="13"/>
        <v>2502060.0132937501</v>
      </c>
      <c r="AE16" s="841">
        <f t="shared" si="14"/>
        <v>5.8910043205341558E-2</v>
      </c>
      <c r="AF16" s="845" t="str">
        <f>Banding!L8</f>
        <v xml:space="preserve">21-50m3 </v>
      </c>
      <c r="AG16" s="834">
        <f t="shared" si="15"/>
        <v>0</v>
      </c>
      <c r="AH16" s="1626">
        <f t="shared" si="16"/>
        <v>87.75</v>
      </c>
      <c r="AI16" s="836">
        <f>Banding!O8</f>
        <v>3555.6477360119334</v>
      </c>
      <c r="AJ16" s="837">
        <f t="shared" ref="AJ16:AJ19" si="59">Y16</f>
        <v>50</v>
      </c>
      <c r="AK16" s="836">
        <f>Banding!P8</f>
        <v>120628</v>
      </c>
      <c r="AL16" s="838">
        <f>(AH16*AK16)+(AI16*AJ16*12)+11085401</f>
        <v>23803896.641607158</v>
      </c>
      <c r="AM16" s="844">
        <f t="shared" si="18"/>
        <v>0.11697294503202094</v>
      </c>
      <c r="AN16" s="840">
        <f t="shared" si="19"/>
        <v>90471</v>
      </c>
      <c r="AO16" s="840">
        <f t="shared" si="48"/>
        <v>2588058.6614999999</v>
      </c>
      <c r="AP16" s="841">
        <f t="shared" si="20"/>
        <v>5.8051715011659143E-2</v>
      </c>
      <c r="AQ16" s="845" t="str">
        <f>Banding!L8</f>
        <v xml:space="preserve">21-50m3 </v>
      </c>
      <c r="AR16" s="834">
        <v>15</v>
      </c>
      <c r="AS16" s="1648">
        <v>130</v>
      </c>
      <c r="AT16" s="836">
        <f>Banding!Q8</f>
        <v>3626.7606907321724</v>
      </c>
      <c r="AU16" s="837">
        <v>50</v>
      </c>
      <c r="AV16" s="836">
        <f>Banding!R8</f>
        <v>239426.83140817846</v>
      </c>
      <c r="AW16" s="838">
        <f t="shared" si="49"/>
        <v>33301544.497502502</v>
      </c>
      <c r="AX16" s="844">
        <f t="shared" si="21"/>
        <v>8.5044602321000695E-2</v>
      </c>
      <c r="AY16" s="1762">
        <v>80</v>
      </c>
      <c r="AZ16" s="840">
        <f t="shared" ref="AZ16:AZ19" si="60">AV16*$D$75</f>
        <v>179570.12355613385</v>
      </c>
      <c r="BA16" s="840">
        <f t="shared" si="50"/>
        <v>4683188.8223439706</v>
      </c>
      <c r="BB16" s="841">
        <f t="shared" si="22"/>
        <v>8.031826689251173E-2</v>
      </c>
      <c r="BC16" s="834">
        <f t="shared" si="23"/>
        <v>15</v>
      </c>
      <c r="BD16" s="1730">
        <f t="shared" ref="BD16:BD19" si="61">AS16</f>
        <v>130</v>
      </c>
      <c r="BE16" s="836">
        <f>Banding!S8</f>
        <v>3699.295904546816</v>
      </c>
      <c r="BF16" s="837">
        <f t="shared" si="24"/>
        <v>50</v>
      </c>
      <c r="BG16" s="836">
        <f>Banding!T8</f>
        <v>239426.83140817846</v>
      </c>
      <c r="BH16" s="838">
        <f t="shared" si="25"/>
        <v>33345065.625791289</v>
      </c>
      <c r="BI16" s="844">
        <f t="shared" si="26"/>
        <v>8.4345214078668643E-2</v>
      </c>
      <c r="BJ16" s="1762">
        <v>80</v>
      </c>
      <c r="BK16" s="840">
        <f t="shared" si="27"/>
        <v>179570.12355613385</v>
      </c>
      <c r="BL16" s="840">
        <f t="shared" si="51"/>
        <v>4683188.8223439706</v>
      </c>
      <c r="BM16" s="847">
        <f t="shared" si="28"/>
        <v>8.1825009332964521E-2</v>
      </c>
      <c r="BN16" s="834">
        <f t="shared" si="29"/>
        <v>15</v>
      </c>
      <c r="BO16" s="1730">
        <v>130</v>
      </c>
      <c r="BP16" s="836">
        <f>Banding!U8</f>
        <v>3773.2818226377522</v>
      </c>
      <c r="BQ16" s="837">
        <f t="shared" si="30"/>
        <v>50</v>
      </c>
      <c r="BR16" s="836">
        <f>Banding!V8</f>
        <v>243000.36620531545</v>
      </c>
      <c r="BS16" s="838">
        <f t="shared" si="31"/>
        <v>33854016.700273663</v>
      </c>
      <c r="BT16" s="844">
        <f t="shared" si="32"/>
        <v>8.4359013042589609E-2</v>
      </c>
      <c r="BU16" s="1762">
        <v>80</v>
      </c>
      <c r="BV16" s="840">
        <f t="shared" si="33"/>
        <v>182250.27465398659</v>
      </c>
      <c r="BW16" s="840">
        <f t="shared" si="53"/>
        <v>4753087.1629759707</v>
      </c>
      <c r="BX16" s="847">
        <f t="shared" si="34"/>
        <v>8.1825009332964507E-2</v>
      </c>
      <c r="BY16" s="834">
        <f t="shared" si="35"/>
        <v>15</v>
      </c>
      <c r="BZ16" s="1730">
        <f t="shared" si="54"/>
        <v>130</v>
      </c>
      <c r="CA16" s="836">
        <f>Banding!W8</f>
        <v>3848.7474590905072</v>
      </c>
      <c r="CB16" s="837">
        <f t="shared" si="36"/>
        <v>50</v>
      </c>
      <c r="CC16" s="836">
        <f>Banding!X8</f>
        <v>246573.90100245245</v>
      </c>
      <c r="CD16" s="838">
        <f t="shared" si="37"/>
        <v>34363855.605773121</v>
      </c>
      <c r="CE16" s="844">
        <f t="shared" si="38"/>
        <v>8.4373478941882005E-2</v>
      </c>
      <c r="CF16" s="1762">
        <v>80</v>
      </c>
      <c r="CG16" s="840">
        <f t="shared" si="39"/>
        <v>184930.42575183933</v>
      </c>
      <c r="CH16" s="840">
        <f t="shared" si="55"/>
        <v>4822985.5036079697</v>
      </c>
      <c r="CI16" s="847">
        <f t="shared" si="40"/>
        <v>8.1825009332964507E-2</v>
      </c>
      <c r="CJ16" s="834">
        <f t="shared" si="41"/>
        <v>15</v>
      </c>
      <c r="CK16" s="1730">
        <f t="shared" si="56"/>
        <v>130</v>
      </c>
      <c r="CL16" s="836">
        <f>Banding!Y8</f>
        <v>3925.7224082723174</v>
      </c>
      <c r="CM16" s="837">
        <f t="shared" si="42"/>
        <v>50</v>
      </c>
      <c r="CN16" s="836">
        <f>Banding!Z8</f>
        <v>250147.43579958947</v>
      </c>
      <c r="CO16" s="838">
        <f t="shared" si="43"/>
        <v>34874600.098910019</v>
      </c>
      <c r="CP16" s="844">
        <f t="shared" si="44"/>
        <v>8.4388603405523094E-2</v>
      </c>
      <c r="CQ16" s="1762">
        <v>80</v>
      </c>
      <c r="CR16" s="840">
        <f t="shared" si="45"/>
        <v>187610.57684969209</v>
      </c>
      <c r="CS16" s="840">
        <f t="shared" si="57"/>
        <v>4892883.8442399697</v>
      </c>
      <c r="CT16" s="841">
        <f t="shared" si="46"/>
        <v>8.1825009332964493E-2</v>
      </c>
    </row>
    <row r="17" spans="1:98" ht="15">
      <c r="A17" s="833" t="str">
        <f>Banding!C9</f>
        <v xml:space="preserve">51-100m3 </v>
      </c>
      <c r="B17" s="834">
        <v>15</v>
      </c>
      <c r="C17" s="835">
        <v>108</v>
      </c>
      <c r="D17" s="836">
        <f>Banding!F9</f>
        <v>1368.22</v>
      </c>
      <c r="E17" s="837">
        <v>50</v>
      </c>
      <c r="F17" s="836">
        <f>Banding!G9</f>
        <v>43337.14</v>
      </c>
      <c r="G17" s="838">
        <f t="shared" si="0"/>
        <v>5501343.1200000001</v>
      </c>
      <c r="H17" s="839">
        <f t="shared" si="1"/>
        <v>3.1443302007007172E-2</v>
      </c>
      <c r="I17" s="840">
        <f t="shared" si="47"/>
        <v>32502.855</v>
      </c>
      <c r="J17" s="840">
        <f t="shared" si="2"/>
        <v>1144360.51884</v>
      </c>
      <c r="K17" s="841">
        <f t="shared" si="3"/>
        <v>2.9236785911031158E-2</v>
      </c>
      <c r="L17" s="834">
        <v>15</v>
      </c>
      <c r="M17" s="835">
        <v>108</v>
      </c>
      <c r="N17" s="836">
        <f>Banding!H9</f>
        <v>1401.2600000000002</v>
      </c>
      <c r="O17" s="837">
        <f t="shared" si="4"/>
        <v>50</v>
      </c>
      <c r="P17" s="836">
        <f>Banding!I9</f>
        <v>46647.86</v>
      </c>
      <c r="Q17" s="838">
        <f t="shared" si="5"/>
        <v>5878724.8799999999</v>
      </c>
      <c r="R17" s="842">
        <f t="shared" si="6"/>
        <v>3.2629848783581904E-2</v>
      </c>
      <c r="S17" s="840">
        <f t="shared" si="7"/>
        <v>34985.895000000004</v>
      </c>
      <c r="T17" s="840">
        <f>(S17*M17*$E$75)</f>
        <v>1231783.3911600003</v>
      </c>
      <c r="U17" s="841">
        <f t="shared" si="8"/>
        <v>6.2000047520536394E-2</v>
      </c>
      <c r="V17" s="843">
        <f t="shared" si="9"/>
        <v>15</v>
      </c>
      <c r="W17" s="835">
        <f t="shared" si="9"/>
        <v>108</v>
      </c>
      <c r="X17" s="836">
        <f>Banding!J9</f>
        <v>1435.42</v>
      </c>
      <c r="Y17" s="837">
        <f t="shared" si="10"/>
        <v>50</v>
      </c>
      <c r="Z17" s="836">
        <f>Banding!K9</f>
        <v>46647.86</v>
      </c>
      <c r="AA17" s="838">
        <f t="shared" si="11"/>
        <v>5899220.8799999999</v>
      </c>
      <c r="AB17" s="844">
        <f t="shared" si="12"/>
        <v>3.2005797054430081E-2</v>
      </c>
      <c r="AC17" s="840">
        <f t="shared" si="58"/>
        <v>34985.895000000004</v>
      </c>
      <c r="AD17" s="840">
        <f t="shared" si="13"/>
        <v>1231783.3911600003</v>
      </c>
      <c r="AE17" s="841">
        <f t="shared" si="14"/>
        <v>2.9001867424168156E-2</v>
      </c>
      <c r="AF17" s="845" t="str">
        <f>Banding!L9</f>
        <v xml:space="preserve">51-100m3 </v>
      </c>
      <c r="AG17" s="834">
        <f t="shared" si="15"/>
        <v>15</v>
      </c>
      <c r="AH17" s="1626">
        <f t="shared" si="16"/>
        <v>108</v>
      </c>
      <c r="AI17" s="836">
        <f>Banding!O9</f>
        <v>1464.090244240208</v>
      </c>
      <c r="AJ17" s="837">
        <f t="shared" si="59"/>
        <v>50</v>
      </c>
      <c r="AK17" s="836">
        <f>Banding!P9</f>
        <v>48251.200000000004</v>
      </c>
      <c r="AL17" s="838">
        <f>(AH17*AK17)+(AI17*AJ17*12)</f>
        <v>6089583.7465441255</v>
      </c>
      <c r="AM17" s="844">
        <f t="shared" si="18"/>
        <v>2.9924367240249491E-2</v>
      </c>
      <c r="AN17" s="840">
        <f t="shared" si="19"/>
        <v>36188.400000000001</v>
      </c>
      <c r="AO17" s="840">
        <f t="shared" si="48"/>
        <v>1274121.1872</v>
      </c>
      <c r="AP17" s="841">
        <f t="shared" si="20"/>
        <v>2.8579305851893735E-2</v>
      </c>
      <c r="AQ17" s="845" t="str">
        <f>Banding!L9</f>
        <v xml:space="preserve">51-100m3 </v>
      </c>
      <c r="AR17" s="834">
        <v>15</v>
      </c>
      <c r="AS17" s="1648">
        <v>145</v>
      </c>
      <c r="AT17" s="836">
        <f>Banding!Q9</f>
        <v>1493.3720491250122</v>
      </c>
      <c r="AU17" s="837">
        <v>50</v>
      </c>
      <c r="AV17" s="836">
        <f>Banding!R9</f>
        <v>42161.900838838526</v>
      </c>
      <c r="AW17" s="838">
        <f t="shared" si="49"/>
        <v>7009498.8511065934</v>
      </c>
      <c r="AX17" s="844">
        <f t="shared" si="21"/>
        <v>1.7900672514050461E-2</v>
      </c>
      <c r="AY17" s="1762">
        <v>100</v>
      </c>
      <c r="AZ17" s="840">
        <f t="shared" si="60"/>
        <v>31621.425629128895</v>
      </c>
      <c r="BA17" s="840">
        <f t="shared" si="50"/>
        <v>1030858.475509602</v>
      </c>
      <c r="BB17" s="841">
        <f t="shared" si="22"/>
        <v>1.767957033236759E-2</v>
      </c>
      <c r="BC17" s="834">
        <f t="shared" si="23"/>
        <v>15</v>
      </c>
      <c r="BD17" s="1730">
        <f t="shared" si="61"/>
        <v>145</v>
      </c>
      <c r="BE17" s="836">
        <f>Banding!S9</f>
        <v>1523.2394901075124</v>
      </c>
      <c r="BF17" s="837">
        <f t="shared" si="24"/>
        <v>50</v>
      </c>
      <c r="BG17" s="836">
        <f>Banding!T9</f>
        <v>42161.900838838526</v>
      </c>
      <c r="BH17" s="838">
        <f t="shared" si="25"/>
        <v>7027419.3156960933</v>
      </c>
      <c r="BI17" s="844">
        <f t="shared" si="26"/>
        <v>1.7775619135219276E-2</v>
      </c>
      <c r="BJ17" s="1762">
        <v>100</v>
      </c>
      <c r="BK17" s="840">
        <f t="shared" si="27"/>
        <v>31621.425629128895</v>
      </c>
      <c r="BL17" s="840">
        <f t="shared" si="51"/>
        <v>1030858.475509602</v>
      </c>
      <c r="BM17" s="847">
        <f t="shared" si="28"/>
        <v>1.801123285422452E-2</v>
      </c>
      <c r="BN17" s="834">
        <f t="shared" si="29"/>
        <v>15</v>
      </c>
      <c r="BO17" s="1730">
        <f t="shared" si="52"/>
        <v>145</v>
      </c>
      <c r="BP17" s="836">
        <f>Banding!U9</f>
        <v>1553.7042799096625</v>
      </c>
      <c r="BQ17" s="837">
        <f t="shared" si="30"/>
        <v>50</v>
      </c>
      <c r="BR17" s="836">
        <f>Banding!V9</f>
        <v>42791.182940910745</v>
      </c>
      <c r="BS17" s="838">
        <f t="shared" si="31"/>
        <v>7136944.0943778548</v>
      </c>
      <c r="BT17" s="844">
        <f t="shared" si="32"/>
        <v>1.7784169165869983E-2</v>
      </c>
      <c r="BU17" s="1762">
        <v>100</v>
      </c>
      <c r="BV17" s="840">
        <f t="shared" si="33"/>
        <v>32093.387205683059</v>
      </c>
      <c r="BW17" s="840">
        <f t="shared" si="53"/>
        <v>1046244.4229052677</v>
      </c>
      <c r="BX17" s="847">
        <f t="shared" si="34"/>
        <v>1.8011232854224516E-2</v>
      </c>
      <c r="BY17" s="834">
        <f t="shared" si="35"/>
        <v>15</v>
      </c>
      <c r="BZ17" s="1730">
        <f t="shared" si="54"/>
        <v>145</v>
      </c>
      <c r="CA17" s="836">
        <f>Banding!W9</f>
        <v>1584.7783655078558</v>
      </c>
      <c r="CB17" s="837">
        <f t="shared" si="36"/>
        <v>50</v>
      </c>
      <c r="CC17" s="836">
        <f>Banding!X9</f>
        <v>43420.465042982963</v>
      </c>
      <c r="CD17" s="838">
        <f t="shared" si="37"/>
        <v>7246834.4505372429</v>
      </c>
      <c r="CE17" s="844">
        <f t="shared" si="38"/>
        <v>1.7793132438985899E-2</v>
      </c>
      <c r="CF17" s="1762">
        <v>100</v>
      </c>
      <c r="CG17" s="840">
        <f t="shared" si="39"/>
        <v>32565.348782237223</v>
      </c>
      <c r="CH17" s="840">
        <f t="shared" si="55"/>
        <v>1061630.3703009335</v>
      </c>
      <c r="CI17" s="847">
        <f t="shared" si="40"/>
        <v>1.8011232854224516E-2</v>
      </c>
      <c r="CJ17" s="834">
        <f t="shared" si="41"/>
        <v>15</v>
      </c>
      <c r="CK17" s="1730">
        <f t="shared" si="56"/>
        <v>145</v>
      </c>
      <c r="CL17" s="836">
        <f>Banding!Y9</f>
        <v>1616.4739328180131</v>
      </c>
      <c r="CM17" s="837">
        <f t="shared" si="42"/>
        <v>50</v>
      </c>
      <c r="CN17" s="836">
        <f>Banding!Z9</f>
        <v>44049.747145055182</v>
      </c>
      <c r="CO17" s="838">
        <f t="shared" si="43"/>
        <v>7357097.6957238093</v>
      </c>
      <c r="CP17" s="844">
        <f t="shared" si="44"/>
        <v>1.780250376776446E-2</v>
      </c>
      <c r="CQ17" s="1762">
        <v>100</v>
      </c>
      <c r="CR17" s="840">
        <f t="shared" si="45"/>
        <v>33037.310358791387</v>
      </c>
      <c r="CS17" s="840">
        <f t="shared" si="57"/>
        <v>1077016.3176965993</v>
      </c>
      <c r="CT17" s="841">
        <f t="shared" si="46"/>
        <v>1.8011232854224516E-2</v>
      </c>
    </row>
    <row r="18" spans="1:98" ht="15">
      <c r="A18" s="833" t="str">
        <f>Banding!C10</f>
        <v xml:space="preserve">101-300m3 </v>
      </c>
      <c r="B18" s="834">
        <v>15</v>
      </c>
      <c r="C18" s="835">
        <v>135</v>
      </c>
      <c r="D18" s="836">
        <f>Banding!F10</f>
        <v>586.38</v>
      </c>
      <c r="E18" s="837">
        <v>50</v>
      </c>
      <c r="F18" s="836">
        <f>Banding!G10</f>
        <v>21668.57</v>
      </c>
      <c r="G18" s="838">
        <f t="shared" si="0"/>
        <v>3277084.95</v>
      </c>
      <c r="H18" s="839">
        <f t="shared" si="1"/>
        <v>1.8730402655827802E-2</v>
      </c>
      <c r="I18" s="840">
        <f t="shared" si="47"/>
        <v>16251.4275</v>
      </c>
      <c r="J18" s="840">
        <f t="shared" si="2"/>
        <v>715225.32427500002</v>
      </c>
      <c r="K18" s="841">
        <f t="shared" si="3"/>
        <v>1.8272991194394475E-2</v>
      </c>
      <c r="L18" s="834">
        <v>15</v>
      </c>
      <c r="M18" s="835">
        <v>135</v>
      </c>
      <c r="N18" s="836">
        <f>Banding!H10</f>
        <v>600.54</v>
      </c>
      <c r="O18" s="837">
        <f t="shared" si="4"/>
        <v>50</v>
      </c>
      <c r="P18" s="836">
        <f>Banding!I10</f>
        <v>23323.93</v>
      </c>
      <c r="Q18" s="838">
        <f t="shared" si="5"/>
        <v>3509054.55</v>
      </c>
      <c r="R18" s="842">
        <f t="shared" si="6"/>
        <v>1.9476999124313509E-2</v>
      </c>
      <c r="S18" s="840">
        <f t="shared" si="7"/>
        <v>17492.947500000002</v>
      </c>
      <c r="T18" s="840"/>
      <c r="U18" s="841">
        <f t="shared" si="8"/>
        <v>0</v>
      </c>
      <c r="V18" s="843"/>
      <c r="W18" s="835">
        <f t="shared" si="9"/>
        <v>135</v>
      </c>
      <c r="X18" s="836">
        <f>Banding!J10</f>
        <v>615.17999999999995</v>
      </c>
      <c r="Y18" s="837">
        <f t="shared" si="10"/>
        <v>50</v>
      </c>
      <c r="Z18" s="836">
        <f>Banding!K10</f>
        <v>23323.93</v>
      </c>
      <c r="AA18" s="838">
        <f t="shared" si="11"/>
        <v>3517838.55</v>
      </c>
      <c r="AB18" s="844">
        <f t="shared" si="12"/>
        <v>1.9085779120979543E-2</v>
      </c>
      <c r="AC18" s="840">
        <f t="shared" si="58"/>
        <v>17492.947500000002</v>
      </c>
      <c r="AD18" s="840">
        <f t="shared" si="13"/>
        <v>769864.61947500007</v>
      </c>
      <c r="AE18" s="841">
        <f t="shared" si="14"/>
        <v>1.8126167140105096E-2</v>
      </c>
      <c r="AF18" s="845" t="str">
        <f>Banding!L10</f>
        <v xml:space="preserve">101-300m3 </v>
      </c>
      <c r="AG18" s="834">
        <f t="shared" si="15"/>
        <v>0</v>
      </c>
      <c r="AH18" s="1626">
        <f t="shared" si="16"/>
        <v>135</v>
      </c>
      <c r="AI18" s="836">
        <f>Banding!O10</f>
        <v>627.46724753151761</v>
      </c>
      <c r="AJ18" s="837">
        <f t="shared" si="59"/>
        <v>50</v>
      </c>
      <c r="AK18" s="836">
        <f>Banding!P10</f>
        <v>24125.600000000002</v>
      </c>
      <c r="AL18" s="838">
        <f t="shared" ref="AL18:AL19" si="62">(AH18*AK18)+(AI18*AJ18*12)</f>
        <v>3633436.3485189108</v>
      </c>
      <c r="AM18" s="844">
        <f t="shared" si="18"/>
        <v>1.7854797333045128E-2</v>
      </c>
      <c r="AN18" s="840">
        <f t="shared" si="19"/>
        <v>18094.2</v>
      </c>
      <c r="AO18" s="840">
        <f t="shared" si="48"/>
        <v>796325.74200000009</v>
      </c>
      <c r="AP18" s="841">
        <f t="shared" si="20"/>
        <v>1.7862066157433586E-2</v>
      </c>
      <c r="AQ18" s="845" t="str">
        <f>Banding!L10</f>
        <v xml:space="preserve">101-300m3 </v>
      </c>
      <c r="AR18" s="834">
        <v>15</v>
      </c>
      <c r="AS18" s="1648">
        <v>160</v>
      </c>
      <c r="AT18" s="836">
        <f>Banding!Q10</f>
        <v>640.01659248214798</v>
      </c>
      <c r="AU18" s="837">
        <v>50</v>
      </c>
      <c r="AV18" s="836">
        <f>Banding!R10</f>
        <v>17347.715145466049</v>
      </c>
      <c r="AW18" s="838">
        <f t="shared" si="49"/>
        <v>3159644.3787638564</v>
      </c>
      <c r="AX18" s="844">
        <f t="shared" si="21"/>
        <v>8.069016128903865E-3</v>
      </c>
      <c r="AY18" s="1762">
        <v>115</v>
      </c>
      <c r="AZ18" s="840">
        <f t="shared" si="60"/>
        <v>13010.786359099537</v>
      </c>
      <c r="BA18" s="840">
        <f t="shared" si="50"/>
        <v>487774.38060264167</v>
      </c>
      <c r="BB18" s="841">
        <f t="shared" si="22"/>
        <v>8.3654950442429727E-3</v>
      </c>
      <c r="BC18" s="834">
        <f t="shared" si="23"/>
        <v>15</v>
      </c>
      <c r="BD18" s="1730">
        <f t="shared" si="61"/>
        <v>160</v>
      </c>
      <c r="BE18" s="836">
        <f>Banding!S10</f>
        <v>652.81692433179091</v>
      </c>
      <c r="BF18" s="837">
        <f t="shared" si="24"/>
        <v>50</v>
      </c>
      <c r="BG18" s="836">
        <f>Banding!T10</f>
        <v>17347.715145466049</v>
      </c>
      <c r="BH18" s="838">
        <f t="shared" si="25"/>
        <v>3167324.5778736426</v>
      </c>
      <c r="BI18" s="844">
        <f t="shared" si="26"/>
        <v>8.0116402401304819E-3</v>
      </c>
      <c r="BJ18" s="1762">
        <v>115</v>
      </c>
      <c r="BK18" s="840">
        <f t="shared" si="27"/>
        <v>13010.786359099537</v>
      </c>
      <c r="BL18" s="840">
        <f t="shared" si="51"/>
        <v>487774.38060264167</v>
      </c>
      <c r="BM18" s="847">
        <f t="shared" si="28"/>
        <v>8.5224287892829015E-3</v>
      </c>
      <c r="BN18" s="834">
        <f t="shared" si="29"/>
        <v>15</v>
      </c>
      <c r="BO18" s="1730">
        <f t="shared" si="52"/>
        <v>160</v>
      </c>
      <c r="BP18" s="836">
        <f>Banding!U10</f>
        <v>665.87326281842672</v>
      </c>
      <c r="BQ18" s="837">
        <f t="shared" si="30"/>
        <v>50</v>
      </c>
      <c r="BR18" s="836">
        <f>Banding!V10</f>
        <v>17606.636267040169</v>
      </c>
      <c r="BS18" s="838">
        <f t="shared" si="31"/>
        <v>3216585.7604174833</v>
      </c>
      <c r="BT18" s="844">
        <f t="shared" si="32"/>
        <v>8.0152379706681307E-3</v>
      </c>
      <c r="BU18" s="1762">
        <v>115</v>
      </c>
      <c r="BV18" s="840">
        <f t="shared" si="33"/>
        <v>13204.977200280126</v>
      </c>
      <c r="BW18" s="840">
        <f t="shared" si="53"/>
        <v>495054.59523850196</v>
      </c>
      <c r="BX18" s="847">
        <f t="shared" si="34"/>
        <v>8.5224287892828997E-3</v>
      </c>
      <c r="BY18" s="834">
        <f t="shared" si="35"/>
        <v>15</v>
      </c>
      <c r="BZ18" s="1730">
        <f t="shared" si="54"/>
        <v>160</v>
      </c>
      <c r="CA18" s="836">
        <f>Banding!W10</f>
        <v>679.19072807479529</v>
      </c>
      <c r="CB18" s="837">
        <f t="shared" si="36"/>
        <v>50</v>
      </c>
      <c r="CC18" s="836">
        <f>Banding!X10</f>
        <v>17865.557388614292</v>
      </c>
      <c r="CD18" s="838">
        <f t="shared" si="37"/>
        <v>3266003.6190231638</v>
      </c>
      <c r="CE18" s="844">
        <f t="shared" si="38"/>
        <v>8.0190095877211934E-3</v>
      </c>
      <c r="CF18" s="1762">
        <v>115</v>
      </c>
      <c r="CG18" s="840">
        <f t="shared" si="39"/>
        <v>13399.168041460718</v>
      </c>
      <c r="CH18" s="840">
        <f t="shared" si="55"/>
        <v>502334.80987436237</v>
      </c>
      <c r="CI18" s="847">
        <f t="shared" si="40"/>
        <v>8.5224287892828997E-3</v>
      </c>
      <c r="CJ18" s="834">
        <f t="shared" si="41"/>
        <v>15</v>
      </c>
      <c r="CK18" s="1730">
        <f t="shared" si="56"/>
        <v>160</v>
      </c>
      <c r="CL18" s="836">
        <f>Banding!Y10</f>
        <v>692.77454263629124</v>
      </c>
      <c r="CM18" s="837">
        <f t="shared" si="42"/>
        <v>50</v>
      </c>
      <c r="CN18" s="836">
        <f>Banding!Z10</f>
        <v>18124.478510188412</v>
      </c>
      <c r="CO18" s="838">
        <f t="shared" si="43"/>
        <v>3315581.2872119206</v>
      </c>
      <c r="CP18" s="844">
        <f t="shared" si="44"/>
        <v>8.02295290875738E-3</v>
      </c>
      <c r="CQ18" s="1762">
        <v>115</v>
      </c>
      <c r="CR18" s="840">
        <f t="shared" si="45"/>
        <v>13593.358882641309</v>
      </c>
      <c r="CS18" s="840">
        <f t="shared" si="57"/>
        <v>509615.02451022266</v>
      </c>
      <c r="CT18" s="841">
        <f t="shared" si="46"/>
        <v>8.5224287892828997E-3</v>
      </c>
    </row>
    <row r="19" spans="1:98" ht="15">
      <c r="A19" s="833" t="str">
        <f>Banding!C11</f>
        <v>&gt;300m3</v>
      </c>
      <c r="B19" s="834">
        <v>15</v>
      </c>
      <c r="C19" s="835">
        <v>175</v>
      </c>
      <c r="D19" s="836">
        <f>Banding!F11</f>
        <v>390.92</v>
      </c>
      <c r="E19" s="837">
        <v>50</v>
      </c>
      <c r="F19" s="836">
        <f>Banding!G11</f>
        <v>21668.57</v>
      </c>
      <c r="G19" s="838">
        <f t="shared" si="0"/>
        <v>4026551.75</v>
      </c>
      <c r="H19" s="839">
        <f t="shared" si="1"/>
        <v>2.3014031293887599E-2</v>
      </c>
      <c r="I19" s="840">
        <f t="shared" si="47"/>
        <v>16251.4275</v>
      </c>
      <c r="J19" s="840">
        <f t="shared" si="2"/>
        <v>927143.93887499999</v>
      </c>
      <c r="K19" s="841">
        <f t="shared" si="3"/>
        <v>2.3687210807548389E-2</v>
      </c>
      <c r="L19" s="834">
        <v>15</v>
      </c>
      <c r="M19" s="835">
        <v>175</v>
      </c>
      <c r="N19" s="836">
        <f>Banding!H11</f>
        <v>400.36</v>
      </c>
      <c r="O19" s="837">
        <f t="shared" si="4"/>
        <v>50</v>
      </c>
      <c r="P19" s="836">
        <f>Banding!I11</f>
        <v>23323.93</v>
      </c>
      <c r="Q19" s="838">
        <f t="shared" si="5"/>
        <v>4321903.75</v>
      </c>
      <c r="R19" s="842">
        <f t="shared" si="6"/>
        <v>2.3988716719754978E-2</v>
      </c>
      <c r="S19" s="840">
        <f t="shared" si="7"/>
        <v>17492.947500000002</v>
      </c>
      <c r="T19" s="840">
        <f>(S19*M19*$E$75)</f>
        <v>997972.65487500024</v>
      </c>
      <c r="U19" s="841">
        <f t="shared" si="8"/>
        <v>5.0231519981916058E-2</v>
      </c>
      <c r="V19" s="843">
        <f t="shared" si="9"/>
        <v>15</v>
      </c>
      <c r="W19" s="835">
        <f t="shared" si="9"/>
        <v>175</v>
      </c>
      <c r="X19" s="836">
        <f>Banding!J11</f>
        <v>410.12</v>
      </c>
      <c r="Y19" s="837">
        <f t="shared" si="10"/>
        <v>50</v>
      </c>
      <c r="Z19" s="836">
        <f>Banding!K11</f>
        <v>23323.93</v>
      </c>
      <c r="AA19" s="838">
        <f t="shared" si="11"/>
        <v>4327759.75</v>
      </c>
      <c r="AB19" s="844">
        <f t="shared" si="12"/>
        <v>2.3479948128138417E-2</v>
      </c>
      <c r="AC19" s="840">
        <f t="shared" si="58"/>
        <v>17492.947500000002</v>
      </c>
      <c r="AD19" s="840">
        <f t="shared" si="13"/>
        <v>997972.65487500024</v>
      </c>
      <c r="AE19" s="841">
        <f t="shared" si="14"/>
        <v>2.3496883329765867E-2</v>
      </c>
      <c r="AF19" s="845" t="str">
        <f>Banding!L11</f>
        <v>&gt;300m3</v>
      </c>
      <c r="AG19" s="834">
        <f t="shared" si="15"/>
        <v>15</v>
      </c>
      <c r="AH19" s="1626">
        <f t="shared" si="16"/>
        <v>175</v>
      </c>
      <c r="AI19" s="836">
        <f>Banding!O11</f>
        <v>418.31149835434508</v>
      </c>
      <c r="AJ19" s="837">
        <f t="shared" si="59"/>
        <v>50</v>
      </c>
      <c r="AK19" s="836">
        <f>Banding!P11</f>
        <v>24125.600000000002</v>
      </c>
      <c r="AL19" s="838">
        <f t="shared" si="62"/>
        <v>4472966.8990126066</v>
      </c>
      <c r="AM19" s="844">
        <f t="shared" si="18"/>
        <v>2.1980271511249722E-2</v>
      </c>
      <c r="AN19" s="840">
        <f t="shared" si="19"/>
        <v>18094.2</v>
      </c>
      <c r="AO19" s="840">
        <f t="shared" si="48"/>
        <v>1032274.11</v>
      </c>
      <c r="AP19" s="841">
        <f t="shared" si="20"/>
        <v>2.3154530204080571E-2</v>
      </c>
      <c r="AQ19" s="845" t="str">
        <f>Banding!L11</f>
        <v>&gt;300m3</v>
      </c>
      <c r="AR19" s="834">
        <v>15</v>
      </c>
      <c r="AS19" s="1648">
        <f t="shared" ref="AS19" si="63">ROUNDUP(AH19*(1+D90),0)</f>
        <v>200</v>
      </c>
      <c r="AT19" s="836">
        <f>Banding!Q11</f>
        <v>426.67772832143203</v>
      </c>
      <c r="AU19" s="837">
        <v>50</v>
      </c>
      <c r="AV19" s="836">
        <f>Banding!R11</f>
        <v>2741.6702300601492</v>
      </c>
      <c r="AW19" s="838">
        <f t="shared" si="49"/>
        <v>804340.68300488906</v>
      </c>
      <c r="AX19" s="844">
        <f t="shared" si="21"/>
        <v>2.0541039326834524E-3</v>
      </c>
      <c r="AY19" s="1762">
        <v>150</v>
      </c>
      <c r="AZ19" s="840">
        <f t="shared" si="60"/>
        <v>2056.2526725451116</v>
      </c>
      <c r="BA19" s="840">
        <f>(AZ19*AY19*$E$75)</f>
        <v>100550.75568745597</v>
      </c>
      <c r="BB19" s="841">
        <f t="shared" si="22"/>
        <v>1.7244793532597094E-3</v>
      </c>
      <c r="BC19" s="834">
        <f t="shared" si="23"/>
        <v>15</v>
      </c>
      <c r="BD19" s="1730">
        <f t="shared" si="61"/>
        <v>200</v>
      </c>
      <c r="BE19" s="836">
        <f>Banding!S11</f>
        <v>435.21128288786065</v>
      </c>
      <c r="BF19" s="837">
        <f t="shared" si="24"/>
        <v>50</v>
      </c>
      <c r="BG19" s="836">
        <f>Banding!T11</f>
        <v>2741.6702300601492</v>
      </c>
      <c r="BH19" s="838">
        <f t="shared" si="25"/>
        <v>809460.81574474624</v>
      </c>
      <c r="BI19" s="844">
        <f t="shared" si="26"/>
        <v>2.0475037163962461E-3</v>
      </c>
      <c r="BJ19" s="1762">
        <v>150</v>
      </c>
      <c r="BK19" s="840">
        <f t="shared" si="27"/>
        <v>2056.2526725451116</v>
      </c>
      <c r="BL19" s="840">
        <f t="shared" si="51"/>
        <v>100550.75568745597</v>
      </c>
      <c r="BM19" s="847">
        <f t="shared" si="28"/>
        <v>1.7568299794593295E-3</v>
      </c>
      <c r="BN19" s="834">
        <f t="shared" si="29"/>
        <v>15</v>
      </c>
      <c r="BO19" s="1730">
        <f t="shared" si="52"/>
        <v>200</v>
      </c>
      <c r="BP19" s="836">
        <f>Banding!U11</f>
        <v>443.91550854561785</v>
      </c>
      <c r="BQ19" s="837">
        <f t="shared" si="30"/>
        <v>50</v>
      </c>
      <c r="BR19" s="836">
        <f>Banding!V11</f>
        <v>2782.590681255077</v>
      </c>
      <c r="BS19" s="838">
        <f t="shared" si="31"/>
        <v>822867.44137838599</v>
      </c>
      <c r="BT19" s="844">
        <f t="shared" si="32"/>
        <v>2.0504593541776231E-3</v>
      </c>
      <c r="BU19" s="1762">
        <v>150</v>
      </c>
      <c r="BV19" s="840">
        <f t="shared" si="33"/>
        <v>2086.9430109413079</v>
      </c>
      <c r="BW19" s="840">
        <f t="shared" si="53"/>
        <v>102051.51323502995</v>
      </c>
      <c r="BX19" s="847">
        <f t="shared" si="34"/>
        <v>1.7568299794593295E-3</v>
      </c>
      <c r="BY19" s="834">
        <f t="shared" si="35"/>
        <v>15</v>
      </c>
      <c r="BZ19" s="1730">
        <f t="shared" si="54"/>
        <v>200</v>
      </c>
      <c r="CA19" s="836">
        <f>Banding!W11</f>
        <v>452.79381871653021</v>
      </c>
      <c r="CB19" s="837">
        <f t="shared" si="36"/>
        <v>50</v>
      </c>
      <c r="CC19" s="836">
        <f>Banding!X11</f>
        <v>2823.5111324500044</v>
      </c>
      <c r="CD19" s="838">
        <f t="shared" si="37"/>
        <v>836378.51771991898</v>
      </c>
      <c r="CE19" s="844">
        <f t="shared" si="38"/>
        <v>2.0535578446682981E-3</v>
      </c>
      <c r="CF19" s="1762">
        <v>150</v>
      </c>
      <c r="CG19" s="840">
        <f t="shared" si="39"/>
        <v>2117.6333493375032</v>
      </c>
      <c r="CH19" s="840">
        <f t="shared" si="55"/>
        <v>103552.27078260391</v>
      </c>
      <c r="CI19" s="847">
        <f t="shared" si="40"/>
        <v>1.7568299794593293E-3</v>
      </c>
      <c r="CJ19" s="834">
        <f t="shared" si="41"/>
        <v>15</v>
      </c>
      <c r="CK19" s="1730">
        <f t="shared" si="56"/>
        <v>200</v>
      </c>
      <c r="CL19" s="836">
        <f>Banding!Y11</f>
        <v>461.84969509086085</v>
      </c>
      <c r="CM19" s="837">
        <f t="shared" si="42"/>
        <v>50</v>
      </c>
      <c r="CN19" s="836">
        <f>Banding!Z11</f>
        <v>2864.4315836449323</v>
      </c>
      <c r="CO19" s="838">
        <f t="shared" si="43"/>
        <v>849996.13378350297</v>
      </c>
      <c r="CP19" s="844">
        <f t="shared" si="44"/>
        <v>2.0567973948560302E-3</v>
      </c>
      <c r="CQ19" s="1762">
        <v>150</v>
      </c>
      <c r="CR19" s="840">
        <f t="shared" si="45"/>
        <v>2148.3236877336994</v>
      </c>
      <c r="CS19" s="840">
        <f>(CR19*CQ19*$E$75)</f>
        <v>105053.0283301779</v>
      </c>
      <c r="CT19" s="841">
        <f t="shared" si="46"/>
        <v>1.7568299794593293E-3</v>
      </c>
    </row>
    <row r="20" spans="1:98" ht="15">
      <c r="A20" s="848"/>
      <c r="B20" s="834"/>
      <c r="C20" s="835"/>
      <c r="D20" s="849"/>
      <c r="E20" s="850"/>
      <c r="F20" s="849"/>
      <c r="G20" s="851"/>
      <c r="H20" s="851"/>
      <c r="I20" s="840"/>
      <c r="J20" s="840"/>
      <c r="K20" s="841"/>
      <c r="L20" s="834"/>
      <c r="M20" s="835"/>
      <c r="N20" s="836"/>
      <c r="O20" s="837"/>
      <c r="P20" s="836"/>
      <c r="Q20" s="836"/>
      <c r="R20" s="842"/>
      <c r="S20" s="852"/>
      <c r="T20" s="852"/>
      <c r="U20" s="841"/>
      <c r="V20" s="843"/>
      <c r="W20" s="835"/>
      <c r="X20" s="836"/>
      <c r="Y20" s="837"/>
      <c r="Z20" s="836"/>
      <c r="AA20" s="851"/>
      <c r="AB20" s="844"/>
      <c r="AC20" s="852"/>
      <c r="AD20" s="840"/>
      <c r="AE20" s="841"/>
      <c r="AF20" s="853"/>
      <c r="AG20" s="834"/>
      <c r="AH20" s="1626"/>
      <c r="AI20" s="836"/>
      <c r="AJ20" s="837"/>
      <c r="AK20" s="836"/>
      <c r="AL20" s="836"/>
      <c r="AM20" s="854"/>
      <c r="AN20" s="840"/>
      <c r="AO20" s="840"/>
      <c r="AP20" s="841"/>
      <c r="AQ20" s="855"/>
      <c r="AR20" s="834"/>
      <c r="AS20" s="1648"/>
      <c r="AT20" s="836"/>
      <c r="AU20" s="837"/>
      <c r="AV20" s="836"/>
      <c r="AW20" s="836"/>
      <c r="AX20" s="844"/>
      <c r="AY20" s="1752"/>
      <c r="AZ20" s="840"/>
      <c r="BA20" s="840"/>
      <c r="BB20" s="856"/>
      <c r="BC20" s="857"/>
      <c r="BD20" s="1730"/>
      <c r="BE20" s="836"/>
      <c r="BF20" s="837"/>
      <c r="BG20" s="836"/>
      <c r="BH20" s="851"/>
      <c r="BI20" s="854"/>
      <c r="BJ20" s="1752"/>
      <c r="BK20" s="840"/>
      <c r="BL20" s="840"/>
      <c r="BM20" s="847"/>
      <c r="BN20" s="834"/>
      <c r="BO20" s="1730"/>
      <c r="BP20" s="836"/>
      <c r="BQ20" s="837"/>
      <c r="BR20" s="836"/>
      <c r="BS20" s="836"/>
      <c r="BT20" s="844"/>
      <c r="BU20" s="1752"/>
      <c r="BV20" s="840"/>
      <c r="BW20" s="840"/>
      <c r="BX20" s="847"/>
      <c r="BY20" s="834"/>
      <c r="BZ20" s="1730"/>
      <c r="CA20" s="836"/>
      <c r="CB20" s="837"/>
      <c r="CC20" s="836"/>
      <c r="CD20" s="836"/>
      <c r="CE20" s="844"/>
      <c r="CF20" s="1752"/>
      <c r="CG20" s="840"/>
      <c r="CH20" s="840"/>
      <c r="CI20" s="847"/>
      <c r="CJ20" s="834"/>
      <c r="CK20" s="1730"/>
      <c r="CL20" s="836"/>
      <c r="CM20" s="837"/>
      <c r="CN20" s="836"/>
      <c r="CO20" s="836"/>
      <c r="CP20" s="844"/>
      <c r="CQ20" s="1752"/>
      <c r="CR20" s="840"/>
      <c r="CS20" s="840"/>
      <c r="CT20" s="841"/>
    </row>
    <row r="21" spans="1:98" ht="15">
      <c r="A21" s="819" t="s">
        <v>374</v>
      </c>
      <c r="B21" s="835"/>
      <c r="C21" s="835"/>
      <c r="D21" s="851"/>
      <c r="E21" s="851"/>
      <c r="F21" s="851"/>
      <c r="G21" s="851"/>
      <c r="H21" s="851"/>
      <c r="I21" s="840"/>
      <c r="J21" s="840"/>
      <c r="K21" s="858"/>
      <c r="L21" s="834"/>
      <c r="M21" s="835"/>
      <c r="N21" s="836"/>
      <c r="O21" s="836"/>
      <c r="P21" s="836"/>
      <c r="Q21" s="836"/>
      <c r="R21" s="842"/>
      <c r="S21" s="859"/>
      <c r="T21" s="859"/>
      <c r="U21" s="858"/>
      <c r="V21" s="843"/>
      <c r="W21" s="835"/>
      <c r="X21" s="836"/>
      <c r="Y21" s="837"/>
      <c r="Z21" s="836"/>
      <c r="AA21" s="851"/>
      <c r="AB21" s="844"/>
      <c r="AC21" s="859"/>
      <c r="AD21" s="840"/>
      <c r="AE21" s="858"/>
      <c r="AF21" s="819" t="s">
        <v>374</v>
      </c>
      <c r="AG21" s="834"/>
      <c r="AH21" s="1626"/>
      <c r="AI21" s="836"/>
      <c r="AJ21" s="836"/>
      <c r="AK21" s="836"/>
      <c r="AL21" s="836"/>
      <c r="AM21" s="860"/>
      <c r="AN21" s="840"/>
      <c r="AO21" s="840"/>
      <c r="AP21" s="858"/>
      <c r="AQ21" s="819" t="s">
        <v>374</v>
      </c>
      <c r="AR21" s="834"/>
      <c r="AS21" s="1648"/>
      <c r="AT21" s="836"/>
      <c r="AU21" s="837"/>
      <c r="AV21" s="837"/>
      <c r="AW21" s="837"/>
      <c r="AX21" s="844"/>
      <c r="AY21" s="1752"/>
      <c r="AZ21" s="840"/>
      <c r="BA21" s="840"/>
      <c r="BB21" s="840"/>
      <c r="BC21" s="861"/>
      <c r="BD21" s="1730"/>
      <c r="BE21" s="836"/>
      <c r="BF21" s="836"/>
      <c r="BG21" s="836"/>
      <c r="BH21" s="851"/>
      <c r="BI21" s="860"/>
      <c r="BJ21" s="1752"/>
      <c r="BK21" s="840"/>
      <c r="BL21" s="840"/>
      <c r="BM21" s="858"/>
      <c r="BN21" s="834"/>
      <c r="BO21" s="1730"/>
      <c r="BP21" s="837"/>
      <c r="BQ21" s="837"/>
      <c r="BR21" s="837"/>
      <c r="BS21" s="837"/>
      <c r="BT21" s="844"/>
      <c r="BU21" s="1752"/>
      <c r="BV21" s="840"/>
      <c r="BW21" s="840"/>
      <c r="BX21" s="858"/>
      <c r="BY21" s="834"/>
      <c r="BZ21" s="1730"/>
      <c r="CA21" s="837"/>
      <c r="CB21" s="837"/>
      <c r="CC21" s="837"/>
      <c r="CD21" s="837"/>
      <c r="CE21" s="862"/>
      <c r="CF21" s="1752"/>
      <c r="CG21" s="840"/>
      <c r="CH21" s="840"/>
      <c r="CI21" s="858"/>
      <c r="CJ21" s="834"/>
      <c r="CK21" s="1730"/>
      <c r="CL21" s="836"/>
      <c r="CM21" s="836"/>
      <c r="CN21" s="836"/>
      <c r="CO21" s="836"/>
      <c r="CP21" s="862"/>
      <c r="CQ21" s="1752"/>
      <c r="CR21" s="840"/>
      <c r="CS21" s="840"/>
      <c r="CT21" s="858"/>
    </row>
    <row r="22" spans="1:98" ht="15">
      <c r="A22" s="826" t="s">
        <v>11</v>
      </c>
      <c r="B22" s="835"/>
      <c r="C22" s="835"/>
      <c r="D22" s="851"/>
      <c r="E22" s="851"/>
      <c r="F22" s="851"/>
      <c r="G22" s="851"/>
      <c r="H22" s="851"/>
      <c r="I22" s="840"/>
      <c r="J22" s="840"/>
      <c r="K22" s="858"/>
      <c r="L22" s="834"/>
      <c r="M22" s="835"/>
      <c r="N22" s="836"/>
      <c r="O22" s="836"/>
      <c r="P22" s="836"/>
      <c r="Q22" s="836"/>
      <c r="R22" s="842"/>
      <c r="S22" s="852"/>
      <c r="T22" s="852"/>
      <c r="U22" s="858"/>
      <c r="V22" s="843"/>
      <c r="W22" s="835"/>
      <c r="X22" s="836"/>
      <c r="Y22" s="837"/>
      <c r="Z22" s="836"/>
      <c r="AA22" s="851"/>
      <c r="AB22" s="844"/>
      <c r="AC22" s="852"/>
      <c r="AD22" s="840"/>
      <c r="AE22" s="858"/>
      <c r="AF22" s="826" t="s">
        <v>11</v>
      </c>
      <c r="AG22" s="834"/>
      <c r="AH22" s="1626"/>
      <c r="AI22" s="836"/>
      <c r="AJ22" s="836"/>
      <c r="AK22" s="836"/>
      <c r="AL22" s="836"/>
      <c r="AM22" s="860"/>
      <c r="AN22" s="840"/>
      <c r="AO22" s="840"/>
      <c r="AP22" s="858"/>
      <c r="AQ22" s="826" t="s">
        <v>11</v>
      </c>
      <c r="AR22" s="834"/>
      <c r="AS22" s="1648"/>
      <c r="AT22" s="836"/>
      <c r="AU22" s="837"/>
      <c r="AV22" s="837"/>
      <c r="AW22" s="837"/>
      <c r="AX22" s="844"/>
      <c r="AY22" s="1752"/>
      <c r="AZ22" s="840"/>
      <c r="BA22" s="840"/>
      <c r="BB22" s="840"/>
      <c r="BC22" s="834"/>
      <c r="BD22" s="1730"/>
      <c r="BE22" s="836"/>
      <c r="BF22" s="836"/>
      <c r="BG22" s="836"/>
      <c r="BH22" s="851"/>
      <c r="BI22" s="860"/>
      <c r="BJ22" s="1752"/>
      <c r="BK22" s="840"/>
      <c r="BL22" s="840"/>
      <c r="BM22" s="858"/>
      <c r="BN22" s="834"/>
      <c r="BO22" s="1730"/>
      <c r="BP22" s="837"/>
      <c r="BQ22" s="837"/>
      <c r="BR22" s="837"/>
      <c r="BS22" s="837"/>
      <c r="BT22" s="844"/>
      <c r="BU22" s="1752"/>
      <c r="BV22" s="840"/>
      <c r="BW22" s="840"/>
      <c r="BX22" s="858"/>
      <c r="BY22" s="834"/>
      <c r="BZ22" s="1730"/>
      <c r="CA22" s="837"/>
      <c r="CB22" s="837"/>
      <c r="CC22" s="837"/>
      <c r="CD22" s="837"/>
      <c r="CE22" s="862"/>
      <c r="CF22" s="1752"/>
      <c r="CG22" s="840"/>
      <c r="CH22" s="840"/>
      <c r="CI22" s="858"/>
      <c r="CJ22" s="834"/>
      <c r="CK22" s="1730"/>
      <c r="CL22" s="836"/>
      <c r="CM22" s="836"/>
      <c r="CN22" s="836"/>
      <c r="CO22" s="836"/>
      <c r="CP22" s="862"/>
      <c r="CQ22" s="1752"/>
      <c r="CR22" s="840"/>
      <c r="CS22" s="840"/>
      <c r="CT22" s="858"/>
    </row>
    <row r="23" spans="1:98" ht="15">
      <c r="A23" s="833" t="s">
        <v>376</v>
      </c>
      <c r="B23" s="834">
        <v>15</v>
      </c>
      <c r="C23" s="835">
        <v>45</v>
      </c>
      <c r="D23" s="836">
        <f>Banding!F14</f>
        <v>29.120000000000005</v>
      </c>
      <c r="E23" s="837">
        <v>50</v>
      </c>
      <c r="F23" s="836">
        <f>Banding!G14</f>
        <v>28461.84</v>
      </c>
      <c r="G23" s="838">
        <f t="shared" ref="G23:G28" si="64">(C23*F23)+(D23*E23*12)</f>
        <v>1298254.8</v>
      </c>
      <c r="H23" s="842">
        <f t="shared" ref="H23:H28" si="65">G23/$G$48</f>
        <v>7.4202639006538994E-3</v>
      </c>
      <c r="I23" s="840">
        <f t="shared" ref="I23:I28" si="66">F23*$D$76</f>
        <v>28461.84</v>
      </c>
      <c r="J23" s="840">
        <f t="shared" ref="J23:J28" si="67">(C23*I23*$E$75)</f>
        <v>417535.19280000002</v>
      </c>
      <c r="K23" s="841">
        <f t="shared" ref="K23:K28" si="68">J23/$J$48</f>
        <v>1.0667431147125679E-2</v>
      </c>
      <c r="L23" s="834">
        <v>15</v>
      </c>
      <c r="M23" s="835">
        <v>45</v>
      </c>
      <c r="N23" s="836">
        <f>Banding!H14</f>
        <v>29.820000000000004</v>
      </c>
      <c r="O23" s="837">
        <f>E23</f>
        <v>50</v>
      </c>
      <c r="P23" s="836">
        <f>Banding!I14</f>
        <v>30636.239999999998</v>
      </c>
      <c r="Q23" s="838">
        <f t="shared" ref="Q23:Q28" si="69">(M23*P23)+(N23*O23*12)</f>
        <v>1396522.7999999998</v>
      </c>
      <c r="R23" s="842">
        <f t="shared" ref="R23:R28" si="70">Q23/$Q$48</f>
        <v>7.7513965557143728E-3</v>
      </c>
      <c r="S23" s="840">
        <f t="shared" ref="S23:S28" si="71">P23*$D$76</f>
        <v>30636.239999999998</v>
      </c>
      <c r="T23" s="840">
        <f t="shared" ref="T23:T28" si="72">(M23*S23*$E$75)</f>
        <v>449433.64079999994</v>
      </c>
      <c r="U23" s="841">
        <f t="shared" ref="U23:U28" si="73">T23/$T$48</f>
        <v>2.2621596692164049E-2</v>
      </c>
      <c r="V23" s="843">
        <f t="shared" ref="V23:W28" si="74">L23</f>
        <v>15</v>
      </c>
      <c r="W23" s="835">
        <f t="shared" si="74"/>
        <v>45</v>
      </c>
      <c r="X23" s="836">
        <f>Banding!J14</f>
        <v>30.520000000000003</v>
      </c>
      <c r="Y23" s="837">
        <f t="shared" ref="Y23:Y28" si="75">O23</f>
        <v>50</v>
      </c>
      <c r="Z23" s="836">
        <f>Banding!K14</f>
        <v>30636.239999999998</v>
      </c>
      <c r="AA23" s="838">
        <f t="shared" ref="AA23:AA28" si="76">(W23*Z23)+(X23*Y23*12)</f>
        <v>1396942.7999999998</v>
      </c>
      <c r="AB23" s="844">
        <f t="shared" ref="AB23:AB28" si="77">AA23/$AA$48</f>
        <v>7.5790123243270223E-3</v>
      </c>
      <c r="AC23" s="840">
        <f t="shared" ref="AC23:AC28" si="78">Z23*$D$76</f>
        <v>30636.239999999998</v>
      </c>
      <c r="AD23" s="840">
        <f t="shared" ref="AD23:AD28" si="79">(W23*AC23*$E$75)</f>
        <v>449433.64079999994</v>
      </c>
      <c r="AE23" s="841">
        <f t="shared" ref="AE23:AE28" si="80">AD23/$AD$48</f>
        <v>1.0581742666758955E-2</v>
      </c>
      <c r="AF23" s="845" t="str">
        <f>Banding!L14</f>
        <v xml:space="preserve">1-50m3 </v>
      </c>
      <c r="AG23" s="834">
        <f t="shared" ref="AG23:AH28" si="81">V23</f>
        <v>15</v>
      </c>
      <c r="AH23" s="1626">
        <f t="shared" si="81"/>
        <v>45</v>
      </c>
      <c r="AI23" s="836">
        <f>Banding!O14</f>
        <v>31.149029137497784</v>
      </c>
      <c r="AJ23" s="837">
        <f t="shared" ref="AJ23:AJ28" si="82">Y23</f>
        <v>50</v>
      </c>
      <c r="AK23" s="837">
        <f>Banding!P14</f>
        <v>41301.119999999995</v>
      </c>
      <c r="AL23" s="838">
        <f t="shared" ref="AL23:AL28" si="83">(AH23*AK23)+(AI23*AJ23*12)</f>
        <v>1877239.8174824985</v>
      </c>
      <c r="AM23" s="844">
        <f t="shared" ref="AM23:AM28" si="84">AL23/$AL$48</f>
        <v>9.2248035390341699E-3</v>
      </c>
      <c r="AN23" s="840">
        <f t="shared" ref="AN23:AN28" si="85">AK23*$D$76</f>
        <v>41301.119999999995</v>
      </c>
      <c r="AO23" s="840">
        <f t="shared" ref="AO23:AO28" si="86">(AH23*AN23*$E$75)</f>
        <v>605887.43039999995</v>
      </c>
      <c r="AP23" s="841">
        <f t="shared" ref="AP23:AP28" si="87">AO23/$AO$48</f>
        <v>1.3590420094396791E-2</v>
      </c>
      <c r="AQ23" s="1473" t="str">
        <f>Banding!L14</f>
        <v xml:space="preserve">1-50m3 </v>
      </c>
      <c r="AR23" s="834">
        <v>15</v>
      </c>
      <c r="AS23" s="1648">
        <v>120</v>
      </c>
      <c r="AT23" s="836">
        <f>Banding!Q14</f>
        <v>145.24347300684681</v>
      </c>
      <c r="AU23" s="837">
        <v>50</v>
      </c>
      <c r="AV23" s="837">
        <f>Banding!R14</f>
        <v>139860.32654303833</v>
      </c>
      <c r="AW23" s="838">
        <f t="shared" ref="AW23:AW28" si="88">(AS23*AV23)+(AT23*AU23*12)</f>
        <v>16870385.268968709</v>
      </c>
      <c r="AX23" s="844">
        <f t="shared" ref="AX23:AX28" si="89">AW23/$AW$48</f>
        <v>4.3083143074913906E-2</v>
      </c>
      <c r="AY23" s="1762">
        <v>70</v>
      </c>
      <c r="AZ23" s="840">
        <f t="shared" ref="AZ23:AZ28" si="90">AV23*$D$76</f>
        <v>139860.32654303833</v>
      </c>
      <c r="BA23" s="840">
        <f>(AY23*AZ23*$E$75)</f>
        <v>3191612.6517121349</v>
      </c>
      <c r="BB23" s="841">
        <f t="shared" ref="BB23:BB28" si="91">BA23/$BA$48</f>
        <v>5.4737232792042297E-2</v>
      </c>
      <c r="BC23" s="834">
        <f>AR23</f>
        <v>15</v>
      </c>
      <c r="BD23" s="1730">
        <f>AS23</f>
        <v>120</v>
      </c>
      <c r="BE23" s="836">
        <f>Banding!S14</f>
        <v>148.14834246698376</v>
      </c>
      <c r="BF23" s="836">
        <f>AU23</f>
        <v>50</v>
      </c>
      <c r="BG23" s="836">
        <f>Banding!T14</f>
        <v>139860.32654303833</v>
      </c>
      <c r="BH23" s="838">
        <f>(BD23*BG23)+(BE23*BF23*12)</f>
        <v>16872128.190644789</v>
      </c>
      <c r="BI23" s="844">
        <f>BH23/$BH$48</f>
        <v>4.2677476786909301E-2</v>
      </c>
      <c r="BJ23" s="1762">
        <v>70</v>
      </c>
      <c r="BK23" s="840">
        <f>BG23*$D$76</f>
        <v>139860.32654303833</v>
      </c>
      <c r="BL23" s="840">
        <f t="shared" ref="BL23:BL26" si="92">(BK23*BJ23*$E$75)</f>
        <v>3191612.6517121349</v>
      </c>
      <c r="BM23" s="847">
        <f>BL23/$BL$48</f>
        <v>5.5764084029147405E-2</v>
      </c>
      <c r="BN23" s="834">
        <f>BC23</f>
        <v>15</v>
      </c>
      <c r="BO23" s="1730">
        <f>BD23</f>
        <v>120</v>
      </c>
      <c r="BP23" s="836">
        <f>Banding!U14</f>
        <v>151.1113093163234</v>
      </c>
      <c r="BQ23" s="837">
        <f>BF23</f>
        <v>50</v>
      </c>
      <c r="BR23" s="836">
        <f>Banding!V14</f>
        <v>141947.79410338216</v>
      </c>
      <c r="BS23" s="838">
        <f>(BO23*BR23)+(BP23*BQ23*12)</f>
        <v>17124402.077995654</v>
      </c>
      <c r="BT23" s="844">
        <f>BS23/$BS$48</f>
        <v>4.26713813912813E-2</v>
      </c>
      <c r="BU23" s="1762">
        <v>70</v>
      </c>
      <c r="BV23" s="840">
        <f>BR23*$D$76</f>
        <v>141947.79410338216</v>
      </c>
      <c r="BW23" s="840">
        <f t="shared" ref="BW23:BW26" si="93">(BV23*BU23*$E$75)</f>
        <v>3239248.6614391808</v>
      </c>
      <c r="BX23" s="847">
        <f>BW23/$BW$48</f>
        <v>5.5764084029147384E-2</v>
      </c>
      <c r="BY23" s="834">
        <f>BN23</f>
        <v>15</v>
      </c>
      <c r="BZ23" s="1730">
        <f>BO23</f>
        <v>120</v>
      </c>
      <c r="CA23" s="837">
        <f>Banding!W14</f>
        <v>154.13353550264989</v>
      </c>
      <c r="CB23" s="837">
        <f>BQ23</f>
        <v>50</v>
      </c>
      <c r="CC23" s="837">
        <f>Banding!X14</f>
        <v>144035.26166372601</v>
      </c>
      <c r="CD23" s="838">
        <f>(BZ23*CC23)+(CA23*CB23*12)</f>
        <v>17376711.520948712</v>
      </c>
      <c r="CE23" s="844">
        <f>CD23/$CD$48</f>
        <v>4.266499139129238E-2</v>
      </c>
      <c r="CF23" s="1762">
        <v>70</v>
      </c>
      <c r="CG23" s="840">
        <f>CC23*$D$76</f>
        <v>144035.26166372601</v>
      </c>
      <c r="CH23" s="840">
        <f t="shared" ref="CH23:CH26" si="94">(CG23*CF23*$E$75)</f>
        <v>3286884.6711662272</v>
      </c>
      <c r="CI23" s="847">
        <f>CH23/$CH$48</f>
        <v>5.5764084029147377E-2</v>
      </c>
      <c r="CJ23" s="834">
        <f>BY23</f>
        <v>15</v>
      </c>
      <c r="CK23" s="1730">
        <f>BZ23</f>
        <v>120</v>
      </c>
      <c r="CL23" s="836">
        <f>Banding!Y14</f>
        <v>157.2162062127029</v>
      </c>
      <c r="CM23" s="863">
        <f>CB23</f>
        <v>50</v>
      </c>
      <c r="CN23" s="836">
        <f>Banding!Z14</f>
        <v>146122.72922406989</v>
      </c>
      <c r="CO23" s="838">
        <f>(CK23*CN23)+(CL23*CM23*12)</f>
        <v>17629057.230616007</v>
      </c>
      <c r="CP23" s="844">
        <f>CO23/$CO$48</f>
        <v>4.2658310484661885E-2</v>
      </c>
      <c r="CQ23" s="1762">
        <v>70</v>
      </c>
      <c r="CR23" s="840">
        <f>CN23*$D$76</f>
        <v>146122.72922406989</v>
      </c>
      <c r="CS23" s="840">
        <f>(CR23*CQ23*$E$75)</f>
        <v>3334520.680893275</v>
      </c>
      <c r="CT23" s="841">
        <f>CS23/$CS$48</f>
        <v>5.5764084029147384E-2</v>
      </c>
    </row>
    <row r="24" spans="1:98" ht="15">
      <c r="A24" s="833" t="s">
        <v>480</v>
      </c>
      <c r="B24" s="834">
        <v>15</v>
      </c>
      <c r="C24" s="835">
        <v>67.5</v>
      </c>
      <c r="D24" s="836">
        <f>Banding!F15</f>
        <v>41.6</v>
      </c>
      <c r="E24" s="837">
        <v>50</v>
      </c>
      <c r="F24" s="836">
        <f>Banding!G15</f>
        <v>40320.94</v>
      </c>
      <c r="G24" s="838">
        <f t="shared" si="64"/>
        <v>2746623.45</v>
      </c>
      <c r="H24" s="842">
        <f t="shared" si="65"/>
        <v>1.5698513754560717E-2</v>
      </c>
      <c r="I24" s="840">
        <f t="shared" si="66"/>
        <v>40320.94</v>
      </c>
      <c r="J24" s="840">
        <f t="shared" si="67"/>
        <v>887262.28470000008</v>
      </c>
      <c r="K24" s="841">
        <f t="shared" si="68"/>
        <v>2.2668291187642069E-2</v>
      </c>
      <c r="L24" s="834">
        <v>15</v>
      </c>
      <c r="M24" s="835">
        <v>67.5</v>
      </c>
      <c r="N24" s="836">
        <f>Banding!H15</f>
        <v>42.6</v>
      </c>
      <c r="O24" s="837">
        <f>E24</f>
        <v>50</v>
      </c>
      <c r="P24" s="836">
        <f>Banding!I15</f>
        <v>43401.340000000004</v>
      </c>
      <c r="Q24" s="838">
        <f t="shared" si="69"/>
        <v>2955150.45</v>
      </c>
      <c r="R24" s="842">
        <f t="shared" si="70"/>
        <v>1.6402555704602733E-2</v>
      </c>
      <c r="S24" s="840">
        <f t="shared" si="71"/>
        <v>43401.340000000004</v>
      </c>
      <c r="T24" s="840">
        <f t="shared" si="72"/>
        <v>955046.48670000012</v>
      </c>
      <c r="U24" s="841">
        <f t="shared" si="73"/>
        <v>4.8070892970848621E-2</v>
      </c>
      <c r="V24" s="843">
        <f t="shared" si="74"/>
        <v>15</v>
      </c>
      <c r="W24" s="835">
        <f t="shared" si="74"/>
        <v>67.5</v>
      </c>
      <c r="X24" s="836">
        <f>Banding!J15</f>
        <v>43.6</v>
      </c>
      <c r="Y24" s="837">
        <f t="shared" si="75"/>
        <v>50</v>
      </c>
      <c r="Z24" s="836">
        <f>Banding!K15</f>
        <v>43401.340000000004</v>
      </c>
      <c r="AA24" s="838">
        <f t="shared" si="76"/>
        <v>2955750.45</v>
      </c>
      <c r="AB24" s="844">
        <f t="shared" si="77"/>
        <v>1.6036210708258881E-2</v>
      </c>
      <c r="AC24" s="840">
        <f t="shared" si="78"/>
        <v>43401.340000000004</v>
      </c>
      <c r="AD24" s="840">
        <f t="shared" si="79"/>
        <v>955046.48670000012</v>
      </c>
      <c r="AE24" s="841">
        <f t="shared" si="80"/>
        <v>2.2486203166862784E-2</v>
      </c>
      <c r="AF24" s="845" t="str">
        <f>Banding!L15</f>
        <v xml:space="preserve">51-100m3 </v>
      </c>
      <c r="AG24" s="834">
        <f t="shared" si="81"/>
        <v>15</v>
      </c>
      <c r="AH24" s="1626">
        <f t="shared" si="81"/>
        <v>67.5</v>
      </c>
      <c r="AI24" s="836">
        <f>Banding!O15</f>
        <v>44.498613053568263</v>
      </c>
      <c r="AJ24" s="837">
        <f t="shared" si="82"/>
        <v>50</v>
      </c>
      <c r="AK24" s="837">
        <f>Banding!P15</f>
        <v>58509.920000000006</v>
      </c>
      <c r="AL24" s="838">
        <f t="shared" si="83"/>
        <v>3976118.7678321414</v>
      </c>
      <c r="AM24" s="844">
        <f t="shared" si="84"/>
        <v>1.9538747335067157E-2</v>
      </c>
      <c r="AN24" s="840">
        <f t="shared" si="85"/>
        <v>58509.920000000006</v>
      </c>
      <c r="AO24" s="840">
        <f t="shared" si="86"/>
        <v>1287510.7896000003</v>
      </c>
      <c r="AP24" s="841">
        <f t="shared" si="87"/>
        <v>2.8879642700593188E-2</v>
      </c>
      <c r="AQ24" s="845" t="str">
        <f>Banding!L15</f>
        <v xml:space="preserve">51-100m3 </v>
      </c>
      <c r="AR24" s="834">
        <v>15</v>
      </c>
      <c r="AS24" s="1648">
        <v>145</v>
      </c>
      <c r="AT24" s="836">
        <f>Banding!Q15</f>
        <v>56.73573164329953</v>
      </c>
      <c r="AU24" s="837">
        <v>50</v>
      </c>
      <c r="AV24" s="837">
        <f>Banding!R15</f>
        <v>19090.869175068325</v>
      </c>
      <c r="AW24" s="838">
        <f t="shared" si="88"/>
        <v>2802217.4693708867</v>
      </c>
      <c r="AX24" s="844">
        <f t="shared" si="89"/>
        <v>7.1562287544195032E-3</v>
      </c>
      <c r="AY24" s="1762">
        <v>90</v>
      </c>
      <c r="AZ24" s="840">
        <f t="shared" si="90"/>
        <v>19090.869175068325</v>
      </c>
      <c r="BA24" s="840">
        <f t="shared" ref="BA24:BA26" si="95">(AY24*AZ24*$E$75)</f>
        <v>560126.10159650468</v>
      </c>
      <c r="BB24" s="841">
        <f t="shared" si="91"/>
        <v>9.6063514472972279E-3</v>
      </c>
      <c r="BC24" s="834">
        <f>AR24</f>
        <v>15</v>
      </c>
      <c r="BD24" s="1730">
        <f t="shared" ref="BD24:BD26" si="96">AS24</f>
        <v>145</v>
      </c>
      <c r="BE24" s="836">
        <f>Banding!S15</f>
        <v>57.870446276165531</v>
      </c>
      <c r="BF24" s="836">
        <f>AU24</f>
        <v>50</v>
      </c>
      <c r="BG24" s="836">
        <f>Banding!T15</f>
        <v>19090.869175068325</v>
      </c>
      <c r="BH24" s="838">
        <f>(BD24*BG24)+(BE24*BF24*12)</f>
        <v>2802898.2981506065</v>
      </c>
      <c r="BI24" s="844">
        <f>BH24/$BH$48</f>
        <v>7.0898363089557962E-3</v>
      </c>
      <c r="BJ24" s="1762">
        <v>90</v>
      </c>
      <c r="BK24" s="840">
        <f>BG24*$D$76</f>
        <v>19090.869175068325</v>
      </c>
      <c r="BL24" s="840">
        <f t="shared" si="92"/>
        <v>560126.10159650468</v>
      </c>
      <c r="BM24" s="847">
        <f>BL24/$BL$48</f>
        <v>9.7865632220721799E-3</v>
      </c>
      <c r="BN24" s="834">
        <f>BC24</f>
        <v>15</v>
      </c>
      <c r="BO24" s="1730">
        <f t="shared" ref="BO24:BO26" si="97">BD24</f>
        <v>145</v>
      </c>
      <c r="BP24" s="836">
        <f>Banding!U15</f>
        <v>59.02785520168883</v>
      </c>
      <c r="BQ24" s="837">
        <f>BF24</f>
        <v>50</v>
      </c>
      <c r="BR24" s="836">
        <f>Banding!V15</f>
        <v>19375.807520964863</v>
      </c>
      <c r="BS24" s="838">
        <f>(BO24*BR24)+(BP24*BQ24*12)</f>
        <v>2844908.8036609185</v>
      </c>
      <c r="BT24" s="844">
        <f>BS24/$BS$48</f>
        <v>7.0890760466562125E-3</v>
      </c>
      <c r="BU24" s="1762">
        <v>90</v>
      </c>
      <c r="BV24" s="840">
        <f>BR24*$D$76</f>
        <v>19375.807520964863</v>
      </c>
      <c r="BW24" s="840">
        <f t="shared" si="93"/>
        <v>568486.19266510906</v>
      </c>
      <c r="BX24" s="847">
        <f>BW24/$BW$48</f>
        <v>9.7865632220721747E-3</v>
      </c>
      <c r="BY24" s="834">
        <f>BN24</f>
        <v>15</v>
      </c>
      <c r="BZ24" s="1730">
        <f t="shared" ref="BZ24:BZ26" si="98">BO24</f>
        <v>145</v>
      </c>
      <c r="CA24" s="837">
        <f>Banding!W15</f>
        <v>60.208412305722611</v>
      </c>
      <c r="CB24" s="837">
        <f>BQ24</f>
        <v>50</v>
      </c>
      <c r="CC24" s="837">
        <f>Banding!X15</f>
        <v>19660.745866861405</v>
      </c>
      <c r="CD24" s="838">
        <f>(BZ24*CC24)+(CA24*CB24*12)</f>
        <v>2886933.1980783376</v>
      </c>
      <c r="CE24" s="844">
        <f>CD24/$CD$48</f>
        <v>7.0882790391472023E-3</v>
      </c>
      <c r="CF24" s="1762">
        <v>90</v>
      </c>
      <c r="CG24" s="840">
        <f>CC24*$D$76</f>
        <v>19660.745866861405</v>
      </c>
      <c r="CH24" s="840">
        <f t="shared" si="94"/>
        <v>576846.28373371367</v>
      </c>
      <c r="CI24" s="847">
        <f>CH24/$CH$48</f>
        <v>9.7865632220721765E-3</v>
      </c>
      <c r="CJ24" s="834">
        <f>BY24</f>
        <v>15</v>
      </c>
      <c r="CK24" s="1730">
        <f t="shared" ref="CK24:CK26" si="99">BZ24</f>
        <v>145</v>
      </c>
      <c r="CL24" s="836">
        <f>Banding!Y15</f>
        <v>61.412580551837067</v>
      </c>
      <c r="CM24" s="863">
        <f>CB24</f>
        <v>50</v>
      </c>
      <c r="CN24" s="836">
        <f>Banding!Z15</f>
        <v>19945.684212757951</v>
      </c>
      <c r="CO24" s="838">
        <f>(CK24*CN24)+(CL24*CM24*12)</f>
        <v>2928971.7591810054</v>
      </c>
      <c r="CP24" s="844">
        <f>CO24/$CO$48</f>
        <v>7.0874457476353498E-3</v>
      </c>
      <c r="CQ24" s="1762">
        <v>90</v>
      </c>
      <c r="CR24" s="840">
        <f>CN24*$D$76</f>
        <v>19945.684212757951</v>
      </c>
      <c r="CS24" s="840">
        <f t="shared" ref="CS24:CS26" si="100">(CR24*CQ24*$E$75)</f>
        <v>585206.37480231829</v>
      </c>
      <c r="CT24" s="841">
        <f>CS24/$CS$48</f>
        <v>9.7865632220721765E-3</v>
      </c>
    </row>
    <row r="25" spans="1:98" ht="15">
      <c r="A25" s="833" t="s">
        <v>476</v>
      </c>
      <c r="B25" s="834">
        <v>15</v>
      </c>
      <c r="C25" s="835">
        <v>87.75</v>
      </c>
      <c r="D25" s="836">
        <f>Banding!F16</f>
        <v>62.4</v>
      </c>
      <c r="E25" s="837">
        <v>50</v>
      </c>
      <c r="F25" s="836">
        <f>Banding!G16</f>
        <v>18974.560000000001</v>
      </c>
      <c r="G25" s="838">
        <f t="shared" si="64"/>
        <v>1702457.6400000001</v>
      </c>
      <c r="H25" s="842">
        <f t="shared" si="65"/>
        <v>9.730512814960849E-3</v>
      </c>
      <c r="I25" s="840">
        <f t="shared" si="66"/>
        <v>18974.560000000001</v>
      </c>
      <c r="J25" s="840">
        <f t="shared" si="67"/>
        <v>542795.7506400001</v>
      </c>
      <c r="K25" s="841">
        <f t="shared" si="68"/>
        <v>1.3867660491263385E-2</v>
      </c>
      <c r="L25" s="834">
        <v>15</v>
      </c>
      <c r="M25" s="835">
        <v>87.75</v>
      </c>
      <c r="N25" s="836">
        <f>Banding!H16</f>
        <v>63.9</v>
      </c>
      <c r="O25" s="837">
        <f>E25</f>
        <v>50</v>
      </c>
      <c r="P25" s="836">
        <f>Banding!I16</f>
        <v>20424.16</v>
      </c>
      <c r="Q25" s="838">
        <f t="shared" si="69"/>
        <v>1830560.04</v>
      </c>
      <c r="R25" s="842">
        <f t="shared" si="70"/>
        <v>1.0160519247580036E-2</v>
      </c>
      <c r="S25" s="840">
        <f t="shared" si="71"/>
        <v>20424.16</v>
      </c>
      <c r="T25" s="840">
        <f t="shared" si="72"/>
        <v>584263.73304000008</v>
      </c>
      <c r="U25" s="841">
        <f t="shared" si="73"/>
        <v>2.9408075699813272E-2</v>
      </c>
      <c r="V25" s="843">
        <f t="shared" si="74"/>
        <v>15</v>
      </c>
      <c r="W25" s="835">
        <f t="shared" si="74"/>
        <v>87.75</v>
      </c>
      <c r="X25" s="836">
        <f>Banding!J16</f>
        <v>65.399999999999991</v>
      </c>
      <c r="Y25" s="837">
        <f t="shared" si="75"/>
        <v>50</v>
      </c>
      <c r="Z25" s="836">
        <f>Banding!K16</f>
        <v>20424.16</v>
      </c>
      <c r="AA25" s="838">
        <f t="shared" si="76"/>
        <v>1831460.04</v>
      </c>
      <c r="AB25" s="844">
        <f t="shared" si="77"/>
        <v>9.9364542447067002E-3</v>
      </c>
      <c r="AC25" s="840">
        <f t="shared" si="78"/>
        <v>20424.16</v>
      </c>
      <c r="AD25" s="840">
        <f t="shared" si="79"/>
        <v>584263.73304000008</v>
      </c>
      <c r="AE25" s="841">
        <f t="shared" si="80"/>
        <v>1.3756265466786646E-2</v>
      </c>
      <c r="AF25" s="845" t="str">
        <f>Banding!L16</f>
        <v xml:space="preserve">101-300m3 </v>
      </c>
      <c r="AG25" s="834">
        <f t="shared" si="81"/>
        <v>15</v>
      </c>
      <c r="AH25" s="1626">
        <f t="shared" si="81"/>
        <v>87.75</v>
      </c>
      <c r="AI25" s="836">
        <f>Banding!O16</f>
        <v>66.747919580352388</v>
      </c>
      <c r="AJ25" s="837">
        <f t="shared" si="82"/>
        <v>50</v>
      </c>
      <c r="AK25" s="837">
        <f>Banding!P16</f>
        <v>27534.080000000002</v>
      </c>
      <c r="AL25" s="838">
        <f t="shared" si="83"/>
        <v>2456164.2717482112</v>
      </c>
      <c r="AM25" s="844">
        <f t="shared" si="84"/>
        <v>1.2069652825102311E-2</v>
      </c>
      <c r="AN25" s="840">
        <f t="shared" si="85"/>
        <v>27534.080000000002</v>
      </c>
      <c r="AO25" s="840">
        <f t="shared" si="86"/>
        <v>787653.65951999999</v>
      </c>
      <c r="AP25" s="841">
        <f t="shared" si="87"/>
        <v>1.766754612271583E-2</v>
      </c>
      <c r="AQ25" s="845" t="str">
        <f>Banding!L16</f>
        <v xml:space="preserve">101-300m3 </v>
      </c>
      <c r="AR25" s="834">
        <v>15</v>
      </c>
      <c r="AS25" s="1648">
        <v>165</v>
      </c>
      <c r="AT25" s="836">
        <f>Banding!Q16</f>
        <v>22.694292657319814</v>
      </c>
      <c r="AU25" s="837">
        <v>50</v>
      </c>
      <c r="AV25" s="837">
        <f>Banding!R16</f>
        <v>18286.55652980931</v>
      </c>
      <c r="AW25" s="838">
        <f t="shared" si="88"/>
        <v>3030898.4030129276</v>
      </c>
      <c r="AX25" s="844">
        <f t="shared" si="89"/>
        <v>7.7402280659661813E-3</v>
      </c>
      <c r="AY25" s="1762">
        <v>120</v>
      </c>
      <c r="AZ25" s="840">
        <f t="shared" si="90"/>
        <v>18286.55652980931</v>
      </c>
      <c r="BA25" s="840">
        <f t="shared" si="95"/>
        <v>715370.0914461402</v>
      </c>
      <c r="BB25" s="841">
        <f t="shared" si="91"/>
        <v>1.2268838202200401E-2</v>
      </c>
      <c r="BC25" s="834">
        <f>AR25</f>
        <v>15</v>
      </c>
      <c r="BD25" s="1730">
        <f t="shared" si="96"/>
        <v>165</v>
      </c>
      <c r="BE25" s="836">
        <f>Banding!S16</f>
        <v>23.148178510466213</v>
      </c>
      <c r="BF25" s="836">
        <f>AU25</f>
        <v>50</v>
      </c>
      <c r="BG25" s="836">
        <f>Banding!T16</f>
        <v>18286.55652980931</v>
      </c>
      <c r="BH25" s="838">
        <f>(BD25*BG25)+(BE25*BF25*12)</f>
        <v>3031170.7345248158</v>
      </c>
      <c r="BI25" s="844">
        <f>BH25/$BH$48</f>
        <v>7.6672437050099183E-3</v>
      </c>
      <c r="BJ25" s="1762">
        <v>120</v>
      </c>
      <c r="BK25" s="840">
        <f>BG25*$D$76</f>
        <v>18286.55652980931</v>
      </c>
      <c r="BL25" s="840">
        <f t="shared" si="92"/>
        <v>715370.0914461402</v>
      </c>
      <c r="BM25" s="847">
        <f>BL25/$BL$48</f>
        <v>1.2498997292149929E-2</v>
      </c>
      <c r="BN25" s="834">
        <f>BC25</f>
        <v>15</v>
      </c>
      <c r="BO25" s="1730">
        <f t="shared" si="97"/>
        <v>165</v>
      </c>
      <c r="BP25" s="836">
        <f>Banding!U16</f>
        <v>23.611142080675535</v>
      </c>
      <c r="BQ25" s="837">
        <f>BF25</f>
        <v>50</v>
      </c>
      <c r="BR25" s="836">
        <f>Banding!V16</f>
        <v>18559.490209358701</v>
      </c>
      <c r="BS25" s="838">
        <f>(BO25*BR25)+(BP25*BQ25*12)</f>
        <v>3076482.569792591</v>
      </c>
      <c r="BT25" s="844">
        <f>BS25/$BS$48</f>
        <v>7.6661223254000117E-3</v>
      </c>
      <c r="BU25" s="1762">
        <v>120</v>
      </c>
      <c r="BV25" s="840">
        <f>BR25*$D$76</f>
        <v>18559.490209358701</v>
      </c>
      <c r="BW25" s="840">
        <f t="shared" si="93"/>
        <v>726047.25699011248</v>
      </c>
      <c r="BX25" s="847">
        <f>BW25/$BW$48</f>
        <v>1.2498997292149927E-2</v>
      </c>
      <c r="BY25" s="834">
        <f>BN25</f>
        <v>15</v>
      </c>
      <c r="BZ25" s="1730">
        <f t="shared" si="98"/>
        <v>165</v>
      </c>
      <c r="CA25" s="837">
        <f>Banding!W16</f>
        <v>24.083364922289046</v>
      </c>
      <c r="CB25" s="837">
        <f>BQ25</f>
        <v>50</v>
      </c>
      <c r="CC25" s="837">
        <f>Banding!X16</f>
        <v>18832.423888908095</v>
      </c>
      <c r="CD25" s="838">
        <f>(BZ25*CC25)+(CA25*CB25*12)</f>
        <v>3121799.9606232094</v>
      </c>
      <c r="CE25" s="844">
        <f>CD25/$CD$48</f>
        <v>7.6649467469581548E-3</v>
      </c>
      <c r="CF25" s="1762">
        <v>120</v>
      </c>
      <c r="CG25" s="840">
        <f>CC25*$D$76</f>
        <v>18832.423888908095</v>
      </c>
      <c r="CH25" s="840">
        <f t="shared" si="94"/>
        <v>736724.42253408465</v>
      </c>
      <c r="CI25" s="847">
        <f>CH25/$CH$48</f>
        <v>1.2498997292149925E-2</v>
      </c>
      <c r="CJ25" s="834">
        <f>BY25</f>
        <v>15</v>
      </c>
      <c r="CK25" s="1730">
        <f t="shared" si="99"/>
        <v>165</v>
      </c>
      <c r="CL25" s="836">
        <f>Banding!Y16</f>
        <v>24.565032220734828</v>
      </c>
      <c r="CM25" s="863">
        <f>CB25</f>
        <v>50</v>
      </c>
      <c r="CN25" s="836">
        <f>Banding!Z16</f>
        <v>19105.357568457486</v>
      </c>
      <c r="CO25" s="838">
        <f>(CK25*CN25)+(CL25*CM25*12)</f>
        <v>3167123.0181279262</v>
      </c>
      <c r="CP25" s="844">
        <f>CO25/$CO$48</f>
        <v>7.6637176499596395E-3</v>
      </c>
      <c r="CQ25" s="1762">
        <v>120</v>
      </c>
      <c r="CR25" s="840">
        <f>CN25*$D$76</f>
        <v>19105.357568457486</v>
      </c>
      <c r="CS25" s="840">
        <f t="shared" si="100"/>
        <v>747401.58807805693</v>
      </c>
      <c r="CT25" s="841">
        <f>CS25/$CS$48</f>
        <v>1.2498997292149925E-2</v>
      </c>
    </row>
    <row r="26" spans="1:98" ht="15">
      <c r="A26" s="833" t="s">
        <v>477</v>
      </c>
      <c r="B26" s="834">
        <v>15</v>
      </c>
      <c r="C26" s="835">
        <v>108</v>
      </c>
      <c r="D26" s="836">
        <f>Banding!F17</f>
        <v>52</v>
      </c>
      <c r="E26" s="837">
        <v>50</v>
      </c>
      <c r="F26" s="836">
        <f>Banding!G17</f>
        <v>24904.11</v>
      </c>
      <c r="G26" s="838">
        <f t="shared" si="64"/>
        <v>2720843.88</v>
      </c>
      <c r="H26" s="842">
        <f t="shared" si="65"/>
        <v>1.5551168863060695E-2</v>
      </c>
      <c r="I26" s="840">
        <f t="shared" si="66"/>
        <v>24904.11</v>
      </c>
      <c r="J26" s="840">
        <f t="shared" si="67"/>
        <v>876823.90488000005</v>
      </c>
      <c r="K26" s="841">
        <f t="shared" si="68"/>
        <v>2.2401605408963927E-2</v>
      </c>
      <c r="L26" s="834">
        <v>15</v>
      </c>
      <c r="M26" s="835">
        <v>108</v>
      </c>
      <c r="N26" s="836">
        <f>Banding!H17</f>
        <v>53.25</v>
      </c>
      <c r="O26" s="837">
        <f>E26</f>
        <v>50</v>
      </c>
      <c r="P26" s="836">
        <f>Banding!I17</f>
        <v>26806.71</v>
      </c>
      <c r="Q26" s="838">
        <f t="shared" si="69"/>
        <v>2927074.6799999997</v>
      </c>
      <c r="R26" s="842">
        <f t="shared" si="70"/>
        <v>1.6246721208469171E-2</v>
      </c>
      <c r="S26" s="840">
        <f t="shared" si="71"/>
        <v>26806.71</v>
      </c>
      <c r="T26" s="840">
        <f t="shared" si="72"/>
        <v>943810.64567999996</v>
      </c>
      <c r="U26" s="841">
        <f t="shared" si="73"/>
        <v>4.7505353053544509E-2</v>
      </c>
      <c r="V26" s="843">
        <f t="shared" si="74"/>
        <v>15</v>
      </c>
      <c r="W26" s="835">
        <f t="shared" si="74"/>
        <v>108</v>
      </c>
      <c r="X26" s="836">
        <f>Banding!J17</f>
        <v>54.5</v>
      </c>
      <c r="Y26" s="837">
        <f t="shared" si="75"/>
        <v>50</v>
      </c>
      <c r="Z26" s="836">
        <f>Banding!K17</f>
        <v>26806.71</v>
      </c>
      <c r="AA26" s="838">
        <f t="shared" si="76"/>
        <v>2927824.6799999997</v>
      </c>
      <c r="AB26" s="844">
        <f t="shared" si="77"/>
        <v>1.5884701458920739E-2</v>
      </c>
      <c r="AC26" s="840">
        <f t="shared" si="78"/>
        <v>26806.71</v>
      </c>
      <c r="AD26" s="840">
        <f t="shared" si="79"/>
        <v>943810.64567999996</v>
      </c>
      <c r="AE26" s="841">
        <f t="shared" si="80"/>
        <v>2.2221659600193806E-2</v>
      </c>
      <c r="AF26" s="845" t="str">
        <f>Banding!L17</f>
        <v>&gt;300m3</v>
      </c>
      <c r="AG26" s="834">
        <f t="shared" si="81"/>
        <v>15</v>
      </c>
      <c r="AH26" s="1626">
        <f t="shared" si="81"/>
        <v>108</v>
      </c>
      <c r="AI26" s="836">
        <f>Banding!O17</f>
        <v>55.623266316960326</v>
      </c>
      <c r="AJ26" s="837">
        <f t="shared" si="82"/>
        <v>50</v>
      </c>
      <c r="AK26" s="837">
        <f>Banding!P17</f>
        <v>36138.479999999996</v>
      </c>
      <c r="AL26" s="838">
        <f t="shared" si="83"/>
        <v>3936329.7997901756</v>
      </c>
      <c r="AM26" s="844">
        <f t="shared" si="84"/>
        <v>1.9343223348312882E-2</v>
      </c>
      <c r="AN26" s="840">
        <f t="shared" si="85"/>
        <v>36138.479999999996</v>
      </c>
      <c r="AO26" s="840">
        <f t="shared" si="86"/>
        <v>1272363.6038399998</v>
      </c>
      <c r="AP26" s="841">
        <f t="shared" si="87"/>
        <v>2.8539882198233259E-2</v>
      </c>
      <c r="AQ26" s="845" t="str">
        <f>Banding!L17</f>
        <v>&gt;300m3</v>
      </c>
      <c r="AR26" s="834">
        <v>15</v>
      </c>
      <c r="AS26" s="1648">
        <f>ROUNDUP(AH26*(1+D94),0)</f>
        <v>210</v>
      </c>
      <c r="AT26" s="836">
        <f>Banding!Q17</f>
        <v>2.2694292657319814</v>
      </c>
      <c r="AU26" s="837">
        <v>50</v>
      </c>
      <c r="AV26" s="837">
        <f>Banding!R17</f>
        <v>5316.5429893566188</v>
      </c>
      <c r="AW26" s="838">
        <f t="shared" si="88"/>
        <v>1117835.685324329</v>
      </c>
      <c r="AX26" s="844">
        <f t="shared" si="89"/>
        <v>2.8546991664533889E-3</v>
      </c>
      <c r="AY26" s="1762">
        <v>150</v>
      </c>
      <c r="AZ26" s="840">
        <f t="shared" si="90"/>
        <v>5316.5429893566188</v>
      </c>
      <c r="BA26" s="840">
        <f t="shared" si="95"/>
        <v>259978.95217953867</v>
      </c>
      <c r="BB26" s="841">
        <f t="shared" si="91"/>
        <v>4.4587266624753789E-3</v>
      </c>
      <c r="BC26" s="834">
        <f>AR26</f>
        <v>15</v>
      </c>
      <c r="BD26" s="1730">
        <f t="shared" si="96"/>
        <v>210</v>
      </c>
      <c r="BE26" s="836">
        <f>Banding!S17</f>
        <v>2.3148178510466213</v>
      </c>
      <c r="BF26" s="836">
        <f>AU26</f>
        <v>50</v>
      </c>
      <c r="BG26" s="836">
        <f>Banding!T17</f>
        <v>5316.5429893566188</v>
      </c>
      <c r="BH26" s="838">
        <f>(BD26*BG26)+(BE26*BF26*12)</f>
        <v>1117862.9184755178</v>
      </c>
      <c r="BI26" s="844">
        <f>BH26/$BH$48</f>
        <v>2.8275963894488637E-3</v>
      </c>
      <c r="BJ26" s="1762">
        <v>150</v>
      </c>
      <c r="BK26" s="840">
        <f>BG26*$D$76</f>
        <v>5316.5429893566188</v>
      </c>
      <c r="BL26" s="840">
        <f t="shared" si="92"/>
        <v>259978.95217953867</v>
      </c>
      <c r="BM26" s="847">
        <f>BL26/$BL$48</f>
        <v>4.5423708066116165E-3</v>
      </c>
      <c r="BN26" s="834">
        <f>BC26</f>
        <v>15</v>
      </c>
      <c r="BO26" s="1730">
        <f t="shared" si="97"/>
        <v>210</v>
      </c>
      <c r="BP26" s="836">
        <f>Banding!U17</f>
        <v>2.3611142080675531</v>
      </c>
      <c r="BQ26" s="837">
        <f>BF26</f>
        <v>50</v>
      </c>
      <c r="BR26" s="836">
        <f>Banding!V17</f>
        <v>5395.8943772574621</v>
      </c>
      <c r="BS26" s="838">
        <f>(BO26*BR26)+(BP26*BQ26*12)</f>
        <v>1134554.4877489076</v>
      </c>
      <c r="BT26" s="844">
        <f>BS26/$BS$48</f>
        <v>2.8271356299285158E-3</v>
      </c>
      <c r="BU26" s="1762">
        <v>150</v>
      </c>
      <c r="BV26" s="840">
        <f>BR26*$D$76</f>
        <v>5395.8943772574621</v>
      </c>
      <c r="BW26" s="840">
        <f t="shared" si="93"/>
        <v>263859.23504788993</v>
      </c>
      <c r="BX26" s="847">
        <f>BW26/$BW$48</f>
        <v>4.5423708066116147E-3</v>
      </c>
      <c r="BY26" s="834">
        <f>BN26</f>
        <v>15</v>
      </c>
      <c r="BZ26" s="1730">
        <f t="shared" si="98"/>
        <v>210</v>
      </c>
      <c r="CA26" s="837">
        <f>Banding!W17</f>
        <v>2.4083364922289046</v>
      </c>
      <c r="CB26" s="837">
        <f>BQ26</f>
        <v>50</v>
      </c>
      <c r="CC26" s="837">
        <f>Banding!X17</f>
        <v>5475.2457651583081</v>
      </c>
      <c r="CD26" s="838">
        <f>(BZ26*CC26)+(CA26*CB26*12)</f>
        <v>1151246.612578582</v>
      </c>
      <c r="CE26" s="844">
        <f>CD26/$CD$48</f>
        <v>2.8266526008505683E-3</v>
      </c>
      <c r="CF26" s="1762">
        <v>150</v>
      </c>
      <c r="CG26" s="840">
        <f>CC26*$D$76</f>
        <v>5475.2457651583081</v>
      </c>
      <c r="CH26" s="840">
        <f t="shared" si="94"/>
        <v>267739.51791624125</v>
      </c>
      <c r="CI26" s="847">
        <f>CH26/$CH$48</f>
        <v>4.5423708066116147E-3</v>
      </c>
      <c r="CJ26" s="834">
        <f>BY26</f>
        <v>15</v>
      </c>
      <c r="CK26" s="1730">
        <f t="shared" si="99"/>
        <v>210</v>
      </c>
      <c r="CL26" s="836">
        <f>Banding!Y17</f>
        <v>2.4565032220734828</v>
      </c>
      <c r="CM26" s="863">
        <f>CB26</f>
        <v>50</v>
      </c>
      <c r="CN26" s="836">
        <f>Banding!Z17</f>
        <v>5554.5971530591532</v>
      </c>
      <c r="CO26" s="838">
        <f>(CK26*CN26)+(CL26*CM26*12)</f>
        <v>1167939.3040756665</v>
      </c>
      <c r="CP26" s="844">
        <f>CO26/$CO$48</f>
        <v>2.826147581730823E-3</v>
      </c>
      <c r="CQ26" s="1762">
        <v>150</v>
      </c>
      <c r="CR26" s="840">
        <f>CN26*$D$76</f>
        <v>5554.5971530591532</v>
      </c>
      <c r="CS26" s="840">
        <f t="shared" si="100"/>
        <v>271619.80078459263</v>
      </c>
      <c r="CT26" s="841">
        <f>CS26/$CS$48</f>
        <v>4.5423708066116147E-3</v>
      </c>
    </row>
    <row r="27" spans="1:98" ht="15">
      <c r="A27" s="833" t="s">
        <v>478</v>
      </c>
      <c r="B27" s="834">
        <v>15</v>
      </c>
      <c r="C27" s="835">
        <v>135</v>
      </c>
      <c r="D27" s="836">
        <f>Banding!F18</f>
        <v>20.8</v>
      </c>
      <c r="E27" s="837">
        <v>50</v>
      </c>
      <c r="F27" s="836">
        <f>Banding!G18</f>
        <v>4743.6400000000003</v>
      </c>
      <c r="G27" s="838">
        <f t="shared" si="64"/>
        <v>652871.4</v>
      </c>
      <c r="H27" s="842">
        <f t="shared" si="65"/>
        <v>3.731531037812741E-3</v>
      </c>
      <c r="I27" s="840">
        <f t="shared" si="66"/>
        <v>4743.6400000000003</v>
      </c>
      <c r="J27" s="840">
        <f t="shared" si="67"/>
        <v>208767.59640000001</v>
      </c>
      <c r="K27" s="841">
        <f t="shared" si="68"/>
        <v>5.3337155735628397E-3</v>
      </c>
      <c r="L27" s="834">
        <v>15</v>
      </c>
      <c r="M27" s="835">
        <v>135</v>
      </c>
      <c r="N27" s="836">
        <f>Banding!H18</f>
        <v>21.3</v>
      </c>
      <c r="O27" s="837">
        <v>50</v>
      </c>
      <c r="P27" s="836">
        <f>Banding!I18</f>
        <v>5106.04</v>
      </c>
      <c r="Q27" s="838">
        <f t="shared" si="69"/>
        <v>702095.4</v>
      </c>
      <c r="R27" s="842">
        <f t="shared" si="70"/>
        <v>3.8969788859465134E-3</v>
      </c>
      <c r="S27" s="840">
        <f t="shared" si="71"/>
        <v>5106.04</v>
      </c>
      <c r="T27" s="840">
        <f t="shared" si="72"/>
        <v>224716.82040000003</v>
      </c>
      <c r="U27" s="841">
        <f t="shared" si="73"/>
        <v>1.1310798346082028E-2</v>
      </c>
      <c r="V27" s="843">
        <f t="shared" si="74"/>
        <v>15</v>
      </c>
      <c r="W27" s="835">
        <f t="shared" si="74"/>
        <v>135</v>
      </c>
      <c r="X27" s="836">
        <f>Banding!J18</f>
        <v>21.8</v>
      </c>
      <c r="Y27" s="837">
        <f t="shared" si="75"/>
        <v>50</v>
      </c>
      <c r="Z27" s="836">
        <f>Banding!K18</f>
        <v>5106.04</v>
      </c>
      <c r="AA27" s="838">
        <f t="shared" si="76"/>
        <v>702395.4</v>
      </c>
      <c r="AB27" s="844">
        <f t="shared" si="77"/>
        <v>3.8107955409130635E-3</v>
      </c>
      <c r="AC27" s="840">
        <f t="shared" si="78"/>
        <v>5106.04</v>
      </c>
      <c r="AD27" s="840">
        <f t="shared" si="79"/>
        <v>224716.82040000003</v>
      </c>
      <c r="AE27" s="841">
        <f t="shared" si="80"/>
        <v>5.2908713333794785E-3</v>
      </c>
      <c r="AF27" s="845"/>
      <c r="AG27" s="834">
        <f t="shared" si="81"/>
        <v>15</v>
      </c>
      <c r="AH27" s="1626">
        <f t="shared" si="81"/>
        <v>135</v>
      </c>
      <c r="AI27" s="836">
        <f>Banding!O18</f>
        <v>22.249306526784132</v>
      </c>
      <c r="AJ27" s="837">
        <f t="shared" si="82"/>
        <v>50</v>
      </c>
      <c r="AK27" s="837">
        <f>Banding!P18</f>
        <v>6883.52</v>
      </c>
      <c r="AL27" s="838">
        <f>(AH27*AK27)+(AI27*AJ27*12)</f>
        <v>942624.78391607059</v>
      </c>
      <c r="AM27" s="844">
        <f t="shared" si="84"/>
        <v>4.6320818265572277E-3</v>
      </c>
      <c r="AN27" s="840">
        <f t="shared" si="85"/>
        <v>6883.52</v>
      </c>
      <c r="AO27" s="840">
        <f t="shared" si="86"/>
        <v>302943.71520000004</v>
      </c>
      <c r="AP27" s="841">
        <f t="shared" si="87"/>
        <v>6.7952100471983965E-3</v>
      </c>
      <c r="AQ27" s="855"/>
      <c r="AR27" s="834">
        <v>15</v>
      </c>
      <c r="AS27" s="1648"/>
      <c r="AT27" s="836">
        <f>Banding!Q18</f>
        <v>0</v>
      </c>
      <c r="AU27" s="837">
        <v>51</v>
      </c>
      <c r="AV27" s="837">
        <f>Banding!R18</f>
        <v>0</v>
      </c>
      <c r="AW27" s="838">
        <f t="shared" si="88"/>
        <v>0</v>
      </c>
      <c r="AX27" s="844">
        <f t="shared" si="89"/>
        <v>0</v>
      </c>
      <c r="AY27" s="1752"/>
      <c r="AZ27" s="840">
        <f t="shared" si="90"/>
        <v>0</v>
      </c>
      <c r="BA27" s="840">
        <f t="shared" ref="BA27:BA28" si="101">(AS27*AZ27*$E$75)</f>
        <v>0</v>
      </c>
      <c r="BB27" s="841">
        <f t="shared" si="91"/>
        <v>0</v>
      </c>
      <c r="BC27" s="834"/>
      <c r="BD27" s="1730"/>
      <c r="BE27" s="836"/>
      <c r="BF27" s="836"/>
      <c r="BG27" s="836"/>
      <c r="BH27" s="851"/>
      <c r="BI27" s="844"/>
      <c r="BJ27" s="1752"/>
      <c r="BK27" s="840"/>
      <c r="BL27" s="840"/>
      <c r="BM27" s="847"/>
      <c r="BN27" s="834"/>
      <c r="BO27" s="1730"/>
      <c r="BP27" s="836"/>
      <c r="BQ27" s="837"/>
      <c r="BR27" s="836"/>
      <c r="BS27" s="836"/>
      <c r="BT27" s="844"/>
      <c r="BU27" s="1752"/>
      <c r="BV27" s="840"/>
      <c r="BW27" s="840"/>
      <c r="BX27" s="847"/>
      <c r="BY27" s="834"/>
      <c r="BZ27" s="1730"/>
      <c r="CA27" s="837"/>
      <c r="CB27" s="837"/>
      <c r="CC27" s="837"/>
      <c r="CD27" s="836"/>
      <c r="CE27" s="844"/>
      <c r="CF27" s="1752"/>
      <c r="CG27" s="840"/>
      <c r="CH27" s="840"/>
      <c r="CI27" s="847"/>
      <c r="CJ27" s="834"/>
      <c r="CK27" s="1730"/>
      <c r="CL27" s="836"/>
      <c r="CM27" s="863"/>
      <c r="CN27" s="836"/>
      <c r="CO27" s="836"/>
      <c r="CP27" s="844"/>
      <c r="CQ27" s="1752"/>
      <c r="CR27" s="840"/>
      <c r="CS27" s="840"/>
      <c r="CT27" s="841"/>
    </row>
    <row r="28" spans="1:98" ht="15">
      <c r="A28" s="833" t="s">
        <v>479</v>
      </c>
      <c r="B28" s="834">
        <v>15</v>
      </c>
      <c r="C28" s="835">
        <v>175</v>
      </c>
      <c r="D28" s="836">
        <f>Banding!F19</f>
        <v>2.08</v>
      </c>
      <c r="E28" s="837">
        <v>50</v>
      </c>
      <c r="F28" s="836">
        <f>Banding!G19</f>
        <v>1185.9100000000001</v>
      </c>
      <c r="G28" s="838">
        <f t="shared" si="64"/>
        <v>208782.25</v>
      </c>
      <c r="H28" s="842">
        <f t="shared" si="65"/>
        <v>1.1933091969098036E-3</v>
      </c>
      <c r="I28" s="840">
        <f t="shared" si="66"/>
        <v>1185.9100000000001</v>
      </c>
      <c r="J28" s="840">
        <f t="shared" si="67"/>
        <v>67656.165500000003</v>
      </c>
      <c r="K28" s="841">
        <f t="shared" si="68"/>
        <v>1.7285189358768461E-3</v>
      </c>
      <c r="L28" s="834">
        <v>15</v>
      </c>
      <c r="M28" s="835">
        <v>175</v>
      </c>
      <c r="N28" s="836">
        <f>Banding!H19</f>
        <v>2.13</v>
      </c>
      <c r="O28" s="837">
        <v>50</v>
      </c>
      <c r="P28" s="836">
        <f>Banding!I19</f>
        <v>1276.51</v>
      </c>
      <c r="Q28" s="838">
        <f t="shared" si="69"/>
        <v>224667.25</v>
      </c>
      <c r="R28" s="842">
        <f t="shared" si="70"/>
        <v>1.2470150489715026E-3</v>
      </c>
      <c r="S28" s="840">
        <f t="shared" si="71"/>
        <v>1276.51</v>
      </c>
      <c r="T28" s="840">
        <f t="shared" si="72"/>
        <v>72824.895499999999</v>
      </c>
      <c r="U28" s="841">
        <f t="shared" si="73"/>
        <v>3.6655365010451013E-3</v>
      </c>
      <c r="V28" s="843">
        <f t="shared" si="74"/>
        <v>15</v>
      </c>
      <c r="W28" s="835">
        <f t="shared" si="74"/>
        <v>175</v>
      </c>
      <c r="X28" s="836">
        <f>Banding!J19</f>
        <v>2.1800000000000002</v>
      </c>
      <c r="Y28" s="837">
        <f t="shared" si="75"/>
        <v>50</v>
      </c>
      <c r="Z28" s="836">
        <f>Banding!K19</f>
        <v>1276.51</v>
      </c>
      <c r="AA28" s="838">
        <f t="shared" si="76"/>
        <v>224697.25</v>
      </c>
      <c r="AB28" s="844">
        <f t="shared" si="77"/>
        <v>1.219078710303951E-3</v>
      </c>
      <c r="AC28" s="840">
        <f t="shared" si="78"/>
        <v>1276.51</v>
      </c>
      <c r="AD28" s="840">
        <f t="shared" si="79"/>
        <v>72824.895499999999</v>
      </c>
      <c r="AE28" s="841">
        <f t="shared" si="80"/>
        <v>1.714634228410016E-3</v>
      </c>
      <c r="AF28" s="845"/>
      <c r="AG28" s="834">
        <f t="shared" si="81"/>
        <v>15</v>
      </c>
      <c r="AH28" s="1626">
        <f t="shared" si="81"/>
        <v>175</v>
      </c>
      <c r="AI28" s="836">
        <f>Banding!O19</f>
        <v>2.2249306526784132</v>
      </c>
      <c r="AJ28" s="837">
        <f t="shared" si="82"/>
        <v>50</v>
      </c>
      <c r="AK28" s="837">
        <f>Banding!P19</f>
        <v>1720.88</v>
      </c>
      <c r="AL28" s="838">
        <f t="shared" si="83"/>
        <v>302488.95839160704</v>
      </c>
      <c r="AM28" s="844">
        <f t="shared" si="84"/>
        <v>1.4864383271135635E-3</v>
      </c>
      <c r="AN28" s="840">
        <f t="shared" si="85"/>
        <v>1720.88</v>
      </c>
      <c r="AO28" s="840">
        <f t="shared" si="86"/>
        <v>98176.203999999998</v>
      </c>
      <c r="AP28" s="841">
        <f t="shared" si="87"/>
        <v>2.2021514041846652E-3</v>
      </c>
      <c r="AQ28" s="864"/>
      <c r="AR28" s="834">
        <v>15</v>
      </c>
      <c r="AS28" s="1648"/>
      <c r="AT28" s="836">
        <f>Banding!Q19</f>
        <v>0</v>
      </c>
      <c r="AU28" s="837">
        <v>52</v>
      </c>
      <c r="AV28" s="837">
        <f>Banding!R19</f>
        <v>0</v>
      </c>
      <c r="AW28" s="838">
        <f t="shared" si="88"/>
        <v>0</v>
      </c>
      <c r="AX28" s="844">
        <f t="shared" si="89"/>
        <v>0</v>
      </c>
      <c r="AY28" s="1752"/>
      <c r="AZ28" s="840">
        <f t="shared" si="90"/>
        <v>0</v>
      </c>
      <c r="BA28" s="840">
        <f t="shared" si="101"/>
        <v>0</v>
      </c>
      <c r="BB28" s="841">
        <f t="shared" si="91"/>
        <v>0</v>
      </c>
      <c r="BC28" s="834"/>
      <c r="BD28" s="1730"/>
      <c r="BE28" s="836"/>
      <c r="BF28" s="836"/>
      <c r="BG28" s="836"/>
      <c r="BH28" s="851"/>
      <c r="BI28" s="862"/>
      <c r="BJ28" s="1752"/>
      <c r="BK28" s="840"/>
      <c r="BL28" s="840"/>
      <c r="BM28" s="858"/>
      <c r="BN28" s="834"/>
      <c r="BO28" s="1730"/>
      <c r="BP28" s="836"/>
      <c r="BQ28" s="837"/>
      <c r="BR28" s="836"/>
      <c r="BS28" s="837"/>
      <c r="BT28" s="844"/>
      <c r="BU28" s="1752"/>
      <c r="BV28" s="840"/>
      <c r="BW28" s="840"/>
      <c r="BX28" s="858"/>
      <c r="BY28" s="834"/>
      <c r="BZ28" s="1730"/>
      <c r="CA28" s="837"/>
      <c r="CB28" s="837"/>
      <c r="CC28" s="837"/>
      <c r="CD28" s="837"/>
      <c r="CE28" s="862"/>
      <c r="CF28" s="1752"/>
      <c r="CG28" s="840"/>
      <c r="CH28" s="840"/>
      <c r="CI28" s="858"/>
      <c r="CJ28" s="834"/>
      <c r="CK28" s="1730"/>
      <c r="CL28" s="836"/>
      <c r="CM28" s="863"/>
      <c r="CN28" s="836"/>
      <c r="CO28" s="836"/>
      <c r="CP28" s="844"/>
      <c r="CQ28" s="1752"/>
      <c r="CR28" s="840"/>
      <c r="CS28" s="840"/>
      <c r="CT28" s="858"/>
    </row>
    <row r="29" spans="1:98" ht="15">
      <c r="A29" s="819" t="s">
        <v>375</v>
      </c>
      <c r="B29" s="835"/>
      <c r="C29" s="835"/>
      <c r="D29" s="835"/>
      <c r="E29" s="835"/>
      <c r="F29" s="835"/>
      <c r="G29" s="835"/>
      <c r="H29" s="835"/>
      <c r="I29" s="840"/>
      <c r="J29" s="840"/>
      <c r="K29" s="840"/>
      <c r="L29" s="834"/>
      <c r="M29" s="835"/>
      <c r="N29" s="836"/>
      <c r="O29" s="837"/>
      <c r="P29" s="836"/>
      <c r="Q29" s="838"/>
      <c r="R29" s="842"/>
      <c r="S29" s="840"/>
      <c r="T29" s="840"/>
      <c r="U29" s="840"/>
      <c r="V29" s="843"/>
      <c r="W29" s="835"/>
      <c r="X29" s="835"/>
      <c r="Y29" s="837"/>
      <c r="Z29" s="835"/>
      <c r="AA29" s="838"/>
      <c r="AB29" s="844"/>
      <c r="AC29" s="840"/>
      <c r="AD29" s="840"/>
      <c r="AE29" s="865"/>
      <c r="AF29" s="819" t="s">
        <v>375</v>
      </c>
      <c r="AG29" s="834"/>
      <c r="AH29" s="1626"/>
      <c r="AI29" s="836"/>
      <c r="AJ29" s="837"/>
      <c r="AK29" s="837"/>
      <c r="AL29" s="837"/>
      <c r="AM29" s="862"/>
      <c r="AN29" s="840"/>
      <c r="AO29" s="840"/>
      <c r="AP29" s="858"/>
      <c r="AQ29" s="819" t="s">
        <v>375</v>
      </c>
      <c r="AR29" s="834"/>
      <c r="AS29" s="1648"/>
      <c r="AT29" s="836"/>
      <c r="AU29" s="837"/>
      <c r="AV29" s="837"/>
      <c r="AW29" s="837"/>
      <c r="AX29" s="862"/>
      <c r="AY29" s="1753"/>
      <c r="AZ29" s="840"/>
      <c r="BA29" s="840"/>
      <c r="BB29" s="841"/>
      <c r="BC29" s="834"/>
      <c r="BD29" s="1730"/>
      <c r="BE29" s="836"/>
      <c r="BF29" s="836"/>
      <c r="BG29" s="836"/>
      <c r="BH29" s="851"/>
      <c r="BI29" s="862"/>
      <c r="BJ29" s="1753"/>
      <c r="BK29" s="840"/>
      <c r="BL29" s="840"/>
      <c r="BM29" s="858"/>
      <c r="BN29" s="834"/>
      <c r="BO29" s="1730"/>
      <c r="BP29" s="837"/>
      <c r="BQ29" s="837"/>
      <c r="BR29" s="837"/>
      <c r="BS29" s="837"/>
      <c r="BT29" s="844"/>
      <c r="BU29" s="1753"/>
      <c r="BV29" s="840"/>
      <c r="BW29" s="840"/>
      <c r="BX29" s="858"/>
      <c r="BY29" s="834"/>
      <c r="BZ29" s="1730"/>
      <c r="CA29" s="837"/>
      <c r="CB29" s="837"/>
      <c r="CC29" s="837"/>
      <c r="CD29" s="837"/>
      <c r="CE29" s="862"/>
      <c r="CF29" s="1753"/>
      <c r="CG29" s="840"/>
      <c r="CH29" s="840"/>
      <c r="CI29" s="858"/>
      <c r="CJ29" s="834"/>
      <c r="CK29" s="1730"/>
      <c r="CL29" s="836"/>
      <c r="CM29" s="863"/>
      <c r="CN29" s="836"/>
      <c r="CO29" s="836"/>
      <c r="CP29" s="844"/>
      <c r="CQ29" s="1753"/>
      <c r="CR29" s="840"/>
      <c r="CS29" s="840"/>
      <c r="CT29" s="858"/>
    </row>
    <row r="30" spans="1:98" ht="15">
      <c r="A30" s="826" t="s">
        <v>11</v>
      </c>
      <c r="B30" s="835"/>
      <c r="C30" s="835"/>
      <c r="D30" s="866"/>
      <c r="E30" s="867"/>
      <c r="F30" s="866"/>
      <c r="G30" s="868"/>
      <c r="H30" s="860"/>
      <c r="I30" s="840"/>
      <c r="J30" s="840"/>
      <c r="K30" s="840"/>
      <c r="L30" s="857"/>
      <c r="M30" s="835"/>
      <c r="N30" s="836"/>
      <c r="O30" s="837"/>
      <c r="P30" s="836"/>
      <c r="Q30" s="838"/>
      <c r="R30" s="842"/>
      <c r="S30" s="840"/>
      <c r="T30" s="840"/>
      <c r="U30" s="840"/>
      <c r="V30" s="843"/>
      <c r="W30" s="835"/>
      <c r="X30" s="835"/>
      <c r="Y30" s="837"/>
      <c r="Z30" s="835"/>
      <c r="AA30" s="838"/>
      <c r="AB30" s="844"/>
      <c r="AC30" s="840"/>
      <c r="AD30" s="840"/>
      <c r="AE30" s="865"/>
      <c r="AF30" s="826" t="s">
        <v>11</v>
      </c>
      <c r="AG30" s="834"/>
      <c r="AH30" s="1626"/>
      <c r="AI30" s="836"/>
      <c r="AJ30" s="837"/>
      <c r="AK30" s="837"/>
      <c r="AL30" s="837"/>
      <c r="AM30" s="862"/>
      <c r="AN30" s="840"/>
      <c r="AO30" s="840"/>
      <c r="AP30" s="858"/>
      <c r="AQ30" s="826" t="s">
        <v>11</v>
      </c>
      <c r="AR30" s="834"/>
      <c r="AS30" s="1648"/>
      <c r="AT30" s="836"/>
      <c r="AU30" s="837"/>
      <c r="AV30" s="837"/>
      <c r="AW30" s="837"/>
      <c r="AX30" s="862"/>
      <c r="AY30" s="1753"/>
      <c r="AZ30" s="840"/>
      <c r="BA30" s="840"/>
      <c r="BB30" s="841"/>
      <c r="BC30" s="834"/>
      <c r="BD30" s="1730"/>
      <c r="BE30" s="836"/>
      <c r="BF30" s="836"/>
      <c r="BG30" s="836"/>
      <c r="BH30" s="851"/>
      <c r="BI30" s="862"/>
      <c r="BJ30" s="1753"/>
      <c r="BK30" s="840"/>
      <c r="BL30" s="840"/>
      <c r="BM30" s="858"/>
      <c r="BN30" s="834"/>
      <c r="BO30" s="1730"/>
      <c r="BP30" s="837"/>
      <c r="BQ30" s="837"/>
      <c r="BR30" s="837"/>
      <c r="BS30" s="837"/>
      <c r="BT30" s="844"/>
      <c r="BU30" s="1753"/>
      <c r="BV30" s="840"/>
      <c r="BW30" s="840"/>
      <c r="BX30" s="858"/>
      <c r="BY30" s="834"/>
      <c r="BZ30" s="1730"/>
      <c r="CA30" s="837"/>
      <c r="CB30" s="837"/>
      <c r="CC30" s="837"/>
      <c r="CD30" s="837"/>
      <c r="CE30" s="862"/>
      <c r="CF30" s="1753"/>
      <c r="CG30" s="840"/>
      <c r="CH30" s="840"/>
      <c r="CI30" s="858"/>
      <c r="CJ30" s="834"/>
      <c r="CK30" s="1730"/>
      <c r="CL30" s="836"/>
      <c r="CM30" s="863"/>
      <c r="CN30" s="836"/>
      <c r="CO30" s="836"/>
      <c r="CP30" s="862"/>
      <c r="CQ30" s="1753"/>
      <c r="CR30" s="840"/>
      <c r="CS30" s="840"/>
      <c r="CT30" s="858"/>
    </row>
    <row r="31" spans="1:98" ht="15">
      <c r="A31" s="833" t="str">
        <f>Banding!C23</f>
        <v xml:space="preserve">0-6m3 </v>
      </c>
      <c r="B31" s="834">
        <v>15</v>
      </c>
      <c r="C31" s="835">
        <v>45</v>
      </c>
      <c r="D31" s="836">
        <f>Banding!F23</f>
        <v>0</v>
      </c>
      <c r="E31" s="837">
        <v>50</v>
      </c>
      <c r="F31" s="836">
        <f>Banding!G23</f>
        <v>0</v>
      </c>
      <c r="G31" s="838">
        <f t="shared" ref="G31:G36" si="102">(C31*F31)+(D31*E31*12)</f>
        <v>0</v>
      </c>
      <c r="H31" s="842">
        <f t="shared" ref="H31:H36" si="103">G31/$G$48</f>
        <v>0</v>
      </c>
      <c r="I31" s="840">
        <f t="shared" ref="I31:I36" si="104">F31*$D$77</f>
        <v>0</v>
      </c>
      <c r="J31" s="840">
        <f t="shared" ref="J31:J36" si="105">C31*I31*$E$75</f>
        <v>0</v>
      </c>
      <c r="K31" s="841">
        <f t="shared" ref="K31:K36" si="106">J31/$J$48</f>
        <v>0</v>
      </c>
      <c r="L31" s="834">
        <v>15</v>
      </c>
      <c r="M31" s="835">
        <v>45</v>
      </c>
      <c r="N31" s="836">
        <f>Banding!H23</f>
        <v>0</v>
      </c>
      <c r="O31" s="837">
        <f t="shared" ref="O31:O36" si="107">E31</f>
        <v>50</v>
      </c>
      <c r="P31" s="836">
        <f>Banding!I23</f>
        <v>0</v>
      </c>
      <c r="Q31" s="838">
        <f t="shared" ref="Q31:Q36" si="108">(M31*P31)+(N31*O31*12)</f>
        <v>0</v>
      </c>
      <c r="R31" s="842">
        <f t="shared" ref="R31:R36" si="109">Q31/$Q$48</f>
        <v>0</v>
      </c>
      <c r="S31" s="840">
        <f t="shared" ref="S31:S36" si="110">P31*$D$77</f>
        <v>0</v>
      </c>
      <c r="T31" s="840">
        <f t="shared" ref="T31:T36" si="111">M31*S31*$E$75</f>
        <v>0</v>
      </c>
      <c r="U31" s="841">
        <f t="shared" ref="U31:U36" si="112">T31/$T$48</f>
        <v>0</v>
      </c>
      <c r="V31" s="843">
        <f t="shared" ref="V31:W36" si="113">L31</f>
        <v>15</v>
      </c>
      <c r="W31" s="835">
        <f t="shared" si="113"/>
        <v>45</v>
      </c>
      <c r="X31" s="836">
        <f>Banding!J23</f>
        <v>0</v>
      </c>
      <c r="Y31" s="837">
        <f t="shared" ref="Y31:Y36" si="114">O31</f>
        <v>50</v>
      </c>
      <c r="Z31" s="836">
        <f>Banding!K23</f>
        <v>0</v>
      </c>
      <c r="AA31" s="838">
        <f t="shared" ref="AA31:AA36" si="115">(W31*Z31)+(X31*Y31*12)</f>
        <v>0</v>
      </c>
      <c r="AB31" s="844">
        <f t="shared" ref="AB31:AB36" si="116">AA31/$AA$48</f>
        <v>0</v>
      </c>
      <c r="AC31" s="840">
        <f t="shared" ref="AC31:AC36" si="117">Z31*$D$77</f>
        <v>0</v>
      </c>
      <c r="AD31" s="840">
        <f t="shared" ref="AD31:AD36" si="118">W31*AC31*$E$75</f>
        <v>0</v>
      </c>
      <c r="AE31" s="841">
        <f t="shared" ref="AE31:AE36" si="119">AD31/$AD$48</f>
        <v>0</v>
      </c>
      <c r="AF31" s="845" t="str">
        <f>Banding!L23</f>
        <v xml:space="preserve">1-50m3 </v>
      </c>
      <c r="AG31" s="834">
        <f t="shared" ref="AG31:AH34" si="120">V31</f>
        <v>15</v>
      </c>
      <c r="AH31" s="1626">
        <f t="shared" si="120"/>
        <v>45</v>
      </c>
      <c r="AI31" s="836">
        <f>Banding!O23</f>
        <v>0</v>
      </c>
      <c r="AJ31" s="837">
        <f>Y31</f>
        <v>50</v>
      </c>
      <c r="AK31" s="837">
        <f>Banding!P23</f>
        <v>21216.959999999999</v>
      </c>
      <c r="AL31" s="838">
        <f>(AH31*AK31)+(AI31*AJ31*12)</f>
        <v>954763.2</v>
      </c>
      <c r="AM31" s="844">
        <f>AL31/$AL$48</f>
        <v>4.6917303075911885E-3</v>
      </c>
      <c r="AN31" s="840">
        <f>AK31*$D$77</f>
        <v>15912.72</v>
      </c>
      <c r="AO31" s="840">
        <f t="shared" ref="AO31:AO36" si="121">AH31*AN31*$E$75</f>
        <v>233439.6024</v>
      </c>
      <c r="AP31" s="841">
        <f t="shared" ref="AP31:AP36" si="122">AO31/$AO$48</f>
        <v>5.2361909227766641E-3</v>
      </c>
      <c r="AQ31" s="845" t="str">
        <f>Banding!L23</f>
        <v xml:space="preserve">1-50m3 </v>
      </c>
      <c r="AR31" s="834">
        <v>15</v>
      </c>
      <c r="AS31" s="1648">
        <v>120</v>
      </c>
      <c r="AT31" s="836">
        <f>Banding!Q23</f>
        <v>0</v>
      </c>
      <c r="AU31" s="837">
        <v>50</v>
      </c>
      <c r="AV31" s="837">
        <f>Banding!R23</f>
        <v>20733.961408554616</v>
      </c>
      <c r="AW31" s="838">
        <f>(AS31*AV31)+(AT31*AU31*12)</f>
        <v>2488075.3690265538</v>
      </c>
      <c r="AX31" s="844">
        <f>AW31/$AW$48</f>
        <v>6.3539809788524786E-3</v>
      </c>
      <c r="AY31" s="1762">
        <v>70</v>
      </c>
      <c r="AZ31" s="840">
        <f>AV31*$D$77</f>
        <v>15550.471056415961</v>
      </c>
      <c r="BA31" s="840">
        <f>(AY31*AZ31*$E$75)</f>
        <v>354861.74950741226</v>
      </c>
      <c r="BB31" s="841">
        <f>BA31/$BA$48</f>
        <v>6.0859986193370222E-3</v>
      </c>
      <c r="BC31" s="834">
        <f>AR31</f>
        <v>15</v>
      </c>
      <c r="BD31" s="1730">
        <f>AS31</f>
        <v>120</v>
      </c>
      <c r="BE31" s="836">
        <f>Banding!S23</f>
        <v>0</v>
      </c>
      <c r="BF31" s="837">
        <f>AU31</f>
        <v>50</v>
      </c>
      <c r="BG31" s="836">
        <f>Banding!T23</f>
        <v>20733.961408554616</v>
      </c>
      <c r="BH31" s="838">
        <f>(BD31*BG31)+(BE31*BF31*12)</f>
        <v>2488075.3690265538</v>
      </c>
      <c r="BI31" s="844">
        <f>BH31/$BH$48</f>
        <v>6.293502373019462E-3</v>
      </c>
      <c r="BJ31" s="1762">
        <v>70</v>
      </c>
      <c r="BK31" s="840">
        <f>BG31*$D$77</f>
        <v>15550.471056415961</v>
      </c>
      <c r="BL31" s="840">
        <f t="shared" ref="BL31:BL34" si="123">(BK31*BJ31*$E$75)</f>
        <v>354861.74950741226</v>
      </c>
      <c r="BM31" s="847">
        <f>BL31/$BL$48</f>
        <v>6.2001698131024978E-3</v>
      </c>
      <c r="BN31" s="834">
        <f>BC31</f>
        <v>15</v>
      </c>
      <c r="BO31" s="1730">
        <f>BD31</f>
        <v>120</v>
      </c>
      <c r="BP31" s="836">
        <f>Banding!U23</f>
        <v>0</v>
      </c>
      <c r="BQ31" s="837">
        <f>BF31</f>
        <v>50</v>
      </c>
      <c r="BR31" s="836">
        <f>Banding!V23</f>
        <v>21043.423519130061</v>
      </c>
      <c r="BS31" s="838">
        <f>(BO31*BR31)+(BP31*BQ31*12)</f>
        <v>2525210.8222956075</v>
      </c>
      <c r="BT31" s="844">
        <f>BS31/$BS$48</f>
        <v>6.2924377505727876E-3</v>
      </c>
      <c r="BU31" s="1762">
        <v>70</v>
      </c>
      <c r="BV31" s="840">
        <f>BR31*$D$77</f>
        <v>15782.567639347546</v>
      </c>
      <c r="BW31" s="840">
        <f t="shared" ref="BW31:BW34" si="124">(BV31*BU31*$E$75)</f>
        <v>360158.19352991099</v>
      </c>
      <c r="BX31" s="847">
        <f>BW31/$BW$48</f>
        <v>6.2001698131024978E-3</v>
      </c>
      <c r="BY31" s="834">
        <f>BN31</f>
        <v>15</v>
      </c>
      <c r="BZ31" s="1730">
        <f>BO31</f>
        <v>120</v>
      </c>
      <c r="CA31" s="836">
        <f>Banding!W23</f>
        <v>0</v>
      </c>
      <c r="CB31" s="837">
        <f>BQ31</f>
        <v>50</v>
      </c>
      <c r="CC31" s="836">
        <f>Banding!X23</f>
        <v>21352.885629705506</v>
      </c>
      <c r="CD31" s="838">
        <f>(BZ31*CC31)+(CA31*CB31*12)</f>
        <v>2562346.2755646608</v>
      </c>
      <c r="CE31" s="844">
        <f>CD31/$CD$48</f>
        <v>6.2913216724971958E-3</v>
      </c>
      <c r="CF31" s="1762">
        <v>70</v>
      </c>
      <c r="CG31" s="840">
        <f>CC31*$D$77</f>
        <v>16014.664222279131</v>
      </c>
      <c r="CH31" s="840">
        <f t="shared" ref="CH31:CH34" si="125">(CG31*CF31*$E$75)</f>
        <v>365454.63755240978</v>
      </c>
      <c r="CI31" s="847">
        <f>CH31/$CH$48</f>
        <v>6.2001698131024996E-3</v>
      </c>
      <c r="CJ31" s="834">
        <f>BY31</f>
        <v>15</v>
      </c>
      <c r="CK31" s="1730">
        <f>BZ31</f>
        <v>120</v>
      </c>
      <c r="CL31" s="836">
        <f>Banding!Y23</f>
        <v>19.338508629262655</v>
      </c>
      <c r="CM31" s="863">
        <f>CB31</f>
        <v>50</v>
      </c>
      <c r="CN31" s="836">
        <f>Banding!Z23</f>
        <v>21662.347740280948</v>
      </c>
      <c r="CO31" s="838">
        <f>(CK31*CN31)+(CL31*CM31*12)</f>
        <v>2611084.8340112711</v>
      </c>
      <c r="CP31" s="844">
        <f>CO31/$CO$48</f>
        <v>6.3182316611693568E-3</v>
      </c>
      <c r="CQ31" s="1762">
        <v>70</v>
      </c>
      <c r="CR31" s="840">
        <f>CN31*$D$77</f>
        <v>16246.76080521071</v>
      </c>
      <c r="CS31" s="840">
        <f t="shared" ref="CS31:CS33" si="126">(CR31*CQ31*$E$75)</f>
        <v>370751.08157490846</v>
      </c>
      <c r="CT31" s="841">
        <f>CS31/$CS$48</f>
        <v>6.2001698131024987E-3</v>
      </c>
    </row>
    <row r="32" spans="1:98" ht="15">
      <c r="A32" s="833" t="str">
        <f>Banding!C24</f>
        <v xml:space="preserve">7-20m3 </v>
      </c>
      <c r="B32" s="834">
        <v>15</v>
      </c>
      <c r="C32" s="835">
        <v>67.5</v>
      </c>
      <c r="D32" s="836">
        <f>Banding!F24</f>
        <v>0</v>
      </c>
      <c r="E32" s="837">
        <v>50</v>
      </c>
      <c r="F32" s="836">
        <f>Banding!G24</f>
        <v>0</v>
      </c>
      <c r="G32" s="838">
        <f t="shared" si="102"/>
        <v>0</v>
      </c>
      <c r="H32" s="842">
        <f t="shared" si="103"/>
        <v>0</v>
      </c>
      <c r="I32" s="840">
        <f t="shared" si="104"/>
        <v>0</v>
      </c>
      <c r="J32" s="840">
        <f t="shared" si="105"/>
        <v>0</v>
      </c>
      <c r="K32" s="841">
        <f t="shared" si="106"/>
        <v>0</v>
      </c>
      <c r="L32" s="834">
        <v>15</v>
      </c>
      <c r="M32" s="835">
        <v>67.5</v>
      </c>
      <c r="N32" s="836">
        <f>Banding!H24</f>
        <v>0</v>
      </c>
      <c r="O32" s="837">
        <f t="shared" si="107"/>
        <v>50</v>
      </c>
      <c r="P32" s="836">
        <f>Banding!I24</f>
        <v>0</v>
      </c>
      <c r="Q32" s="838">
        <f t="shared" si="108"/>
        <v>0</v>
      </c>
      <c r="R32" s="842">
        <f t="shared" si="109"/>
        <v>0</v>
      </c>
      <c r="S32" s="840">
        <f t="shared" si="110"/>
        <v>0</v>
      </c>
      <c r="T32" s="840">
        <f t="shared" si="111"/>
        <v>0</v>
      </c>
      <c r="U32" s="841">
        <f t="shared" si="112"/>
        <v>0</v>
      </c>
      <c r="V32" s="843">
        <f t="shared" si="113"/>
        <v>15</v>
      </c>
      <c r="W32" s="835">
        <f t="shared" si="113"/>
        <v>67.5</v>
      </c>
      <c r="X32" s="836">
        <f>Banding!J24</f>
        <v>0</v>
      </c>
      <c r="Y32" s="837">
        <f t="shared" si="114"/>
        <v>50</v>
      </c>
      <c r="Z32" s="836">
        <f>Banding!K24</f>
        <v>0</v>
      </c>
      <c r="AA32" s="838">
        <f t="shared" si="115"/>
        <v>0</v>
      </c>
      <c r="AB32" s="844">
        <f t="shared" si="116"/>
        <v>0</v>
      </c>
      <c r="AC32" s="840">
        <f t="shared" si="117"/>
        <v>0</v>
      </c>
      <c r="AD32" s="840">
        <f t="shared" si="118"/>
        <v>0</v>
      </c>
      <c r="AE32" s="841">
        <f t="shared" si="119"/>
        <v>0</v>
      </c>
      <c r="AF32" s="845" t="str">
        <f>Banding!L24</f>
        <v xml:space="preserve">51-100m3 </v>
      </c>
      <c r="AG32" s="834">
        <f t="shared" si="120"/>
        <v>15</v>
      </c>
      <c r="AH32" s="1626">
        <f t="shared" si="120"/>
        <v>67.5</v>
      </c>
      <c r="AI32" s="836">
        <f>Banding!O24</f>
        <v>0</v>
      </c>
      <c r="AJ32" s="837">
        <f>Y32</f>
        <v>50</v>
      </c>
      <c r="AK32" s="837">
        <f>Banding!P24</f>
        <v>25637.16</v>
      </c>
      <c r="AL32" s="838">
        <f>(AH32*AK32)+(AI32*AJ32*12)</f>
        <v>1730508.3</v>
      </c>
      <c r="AM32" s="844">
        <f>AL32/$AL$48</f>
        <v>8.503761182509029E-3</v>
      </c>
      <c r="AN32" s="840">
        <f t="shared" ref="AN32:AN36" si="127">AK32*$D$77</f>
        <v>19227.87</v>
      </c>
      <c r="AO32" s="840">
        <f t="shared" si="121"/>
        <v>423109.27934999997</v>
      </c>
      <c r="AP32" s="841">
        <f t="shared" si="122"/>
        <v>9.4905960475327022E-3</v>
      </c>
      <c r="AQ32" s="845" t="str">
        <f>Banding!L24</f>
        <v xml:space="preserve">51-100m3 </v>
      </c>
      <c r="AR32" s="834">
        <v>15</v>
      </c>
      <c r="AS32" s="1648">
        <v>145</v>
      </c>
      <c r="AT32" s="836">
        <f>Banding!Q24</f>
        <v>0</v>
      </c>
      <c r="AU32" s="837">
        <v>50</v>
      </c>
      <c r="AV32" s="837">
        <f>Banding!R24</f>
        <v>4494.2927963715956</v>
      </c>
      <c r="AW32" s="838">
        <f>(AS32*AV32)+(AT32*AU32*12)</f>
        <v>651672.45547388133</v>
      </c>
      <c r="AX32" s="844">
        <f>AW32/$AW$48</f>
        <v>1.6642238567488262E-3</v>
      </c>
      <c r="AY32" s="1762">
        <v>90</v>
      </c>
      <c r="AZ32" s="840">
        <f>AV32*$D$77</f>
        <v>3370.7195972786967</v>
      </c>
      <c r="BA32" s="840">
        <f t="shared" ref="BA32:BA34" si="128">(AY32*AZ32*$E$75)</f>
        <v>98896.912984156952</v>
      </c>
      <c r="BB32" s="841">
        <f>BA32/$BA$48</f>
        <v>1.696115393427887E-3</v>
      </c>
      <c r="BC32" s="834">
        <f>AR32</f>
        <v>15</v>
      </c>
      <c r="BD32" s="1730">
        <f t="shared" ref="BD32:BD34" si="129">AS32</f>
        <v>145</v>
      </c>
      <c r="BE32" s="836">
        <f>Banding!S24</f>
        <v>0</v>
      </c>
      <c r="BF32" s="837">
        <f>AU32</f>
        <v>50</v>
      </c>
      <c r="BG32" s="836">
        <f>Banding!T24</f>
        <v>4494.2927963715956</v>
      </c>
      <c r="BH32" s="838">
        <f>(BD32*BG32)+(BE32*BF32*12)</f>
        <v>651672.45547388133</v>
      </c>
      <c r="BI32" s="844">
        <f>BH32/$BH$48</f>
        <v>1.6483834034983051E-3</v>
      </c>
      <c r="BJ32" s="1762">
        <v>90</v>
      </c>
      <c r="BK32" s="840">
        <f>BG32*$D$77</f>
        <v>3370.7195972786967</v>
      </c>
      <c r="BL32" s="840">
        <f t="shared" si="123"/>
        <v>98896.912984156952</v>
      </c>
      <c r="BM32" s="847">
        <f>BL32/$BL$48</f>
        <v>1.7279339217161429E-3</v>
      </c>
      <c r="BN32" s="834">
        <f>BC32</f>
        <v>15</v>
      </c>
      <c r="BO32" s="1730">
        <f t="shared" ref="BO32:BO34" si="130">BD32</f>
        <v>145</v>
      </c>
      <c r="BP32" s="836">
        <f>Banding!U24</f>
        <v>0</v>
      </c>
      <c r="BQ32" s="837">
        <f>BF32</f>
        <v>50</v>
      </c>
      <c r="BR32" s="836">
        <f>Banding!V24</f>
        <v>4561.371793332366</v>
      </c>
      <c r="BS32" s="838">
        <f>(BO32*BR32)+(BP32*BQ32*12)</f>
        <v>661398.91003319307</v>
      </c>
      <c r="BT32" s="844">
        <f>BS32/$BS$48</f>
        <v>1.6481045594035422E-3</v>
      </c>
      <c r="BU32" s="1762">
        <v>90</v>
      </c>
      <c r="BV32" s="840">
        <f>BR32*$D$77</f>
        <v>3421.0288449992745</v>
      </c>
      <c r="BW32" s="840">
        <f t="shared" si="124"/>
        <v>100372.98631227871</v>
      </c>
      <c r="BX32" s="847">
        <f>BW32/$BW$48</f>
        <v>1.7279339217161429E-3</v>
      </c>
      <c r="BY32" s="834">
        <f>BN32</f>
        <v>15</v>
      </c>
      <c r="BZ32" s="1730">
        <f t="shared" ref="BZ32:BZ34" si="131">BO32</f>
        <v>145</v>
      </c>
      <c r="CA32" s="836">
        <f>Banding!W24</f>
        <v>0</v>
      </c>
      <c r="CB32" s="837">
        <f>BQ32</f>
        <v>50</v>
      </c>
      <c r="CC32" s="836">
        <f>Banding!X24</f>
        <v>4628.4507902931364</v>
      </c>
      <c r="CD32" s="838">
        <f>(BZ32*CC32)+(CA32*CB32*12)</f>
        <v>671125.3645925048</v>
      </c>
      <c r="CE32" s="844">
        <f>CD32/$CD$48</f>
        <v>1.6478122381382481E-3</v>
      </c>
      <c r="CF32" s="1762">
        <v>90</v>
      </c>
      <c r="CG32" s="840">
        <f>CC32*$D$77</f>
        <v>3471.3380927198523</v>
      </c>
      <c r="CH32" s="840">
        <f t="shared" si="125"/>
        <v>101849.05964040046</v>
      </c>
      <c r="CI32" s="847">
        <f>CH32/$CH$48</f>
        <v>1.7279339217161429E-3</v>
      </c>
      <c r="CJ32" s="834">
        <f>BY32</f>
        <v>15</v>
      </c>
      <c r="CK32" s="1730">
        <f t="shared" ref="CK32:CK34" si="132">BZ32</f>
        <v>145</v>
      </c>
      <c r="CL32" s="836">
        <f>Banding!Y24</f>
        <v>7.5541049333057249</v>
      </c>
      <c r="CM32" s="863">
        <f>CB32</f>
        <v>50</v>
      </c>
      <c r="CN32" s="836">
        <f>Banding!Z24</f>
        <v>4695.5297872539068</v>
      </c>
      <c r="CO32" s="838">
        <f>(CK32*CN32)+(CL32*CM32*12)</f>
        <v>685384.28211179981</v>
      </c>
      <c r="CP32" s="844">
        <f>CO32/$CO$48</f>
        <v>1.6584741387563478E-3</v>
      </c>
      <c r="CQ32" s="1762">
        <v>90</v>
      </c>
      <c r="CR32" s="840">
        <f>CN32*$D$77</f>
        <v>3521.6473404404301</v>
      </c>
      <c r="CS32" s="840">
        <f t="shared" si="126"/>
        <v>103325.13296852222</v>
      </c>
      <c r="CT32" s="841">
        <f>CS32/$CS$48</f>
        <v>1.7279339217161429E-3</v>
      </c>
    </row>
    <row r="33" spans="1:99" ht="15">
      <c r="A33" s="833" t="str">
        <f>Banding!C25</f>
        <v xml:space="preserve">21-50m3 </v>
      </c>
      <c r="B33" s="834">
        <v>15</v>
      </c>
      <c r="C33" s="835">
        <v>87.75</v>
      </c>
      <c r="D33" s="836">
        <f>Banding!F25</f>
        <v>0</v>
      </c>
      <c r="E33" s="837">
        <v>50</v>
      </c>
      <c r="F33" s="836">
        <f>Banding!G25</f>
        <v>0</v>
      </c>
      <c r="G33" s="838">
        <f t="shared" si="102"/>
        <v>0</v>
      </c>
      <c r="H33" s="842">
        <f t="shared" si="103"/>
        <v>0</v>
      </c>
      <c r="I33" s="840">
        <f t="shared" si="104"/>
        <v>0</v>
      </c>
      <c r="J33" s="840">
        <f t="shared" si="105"/>
        <v>0</v>
      </c>
      <c r="K33" s="841">
        <f t="shared" si="106"/>
        <v>0</v>
      </c>
      <c r="L33" s="834">
        <v>15</v>
      </c>
      <c r="M33" s="835">
        <v>87.75</v>
      </c>
      <c r="N33" s="836">
        <f>Banding!H25</f>
        <v>0</v>
      </c>
      <c r="O33" s="837">
        <f t="shared" si="107"/>
        <v>50</v>
      </c>
      <c r="P33" s="836">
        <f>Banding!I25</f>
        <v>0</v>
      </c>
      <c r="Q33" s="838">
        <f t="shared" si="108"/>
        <v>0</v>
      </c>
      <c r="R33" s="842">
        <f t="shared" si="109"/>
        <v>0</v>
      </c>
      <c r="S33" s="840">
        <f t="shared" si="110"/>
        <v>0</v>
      </c>
      <c r="T33" s="840">
        <f t="shared" si="111"/>
        <v>0</v>
      </c>
      <c r="U33" s="841">
        <f t="shared" si="112"/>
        <v>0</v>
      </c>
      <c r="V33" s="843">
        <f t="shared" si="113"/>
        <v>15</v>
      </c>
      <c r="W33" s="835">
        <f t="shared" si="113"/>
        <v>87.75</v>
      </c>
      <c r="X33" s="836">
        <f>Banding!J25</f>
        <v>0</v>
      </c>
      <c r="Y33" s="837">
        <f t="shared" si="114"/>
        <v>50</v>
      </c>
      <c r="Z33" s="836">
        <f>Banding!K25</f>
        <v>0</v>
      </c>
      <c r="AA33" s="838">
        <f t="shared" si="115"/>
        <v>0</v>
      </c>
      <c r="AB33" s="844">
        <f t="shared" si="116"/>
        <v>0</v>
      </c>
      <c r="AC33" s="840">
        <f t="shared" si="117"/>
        <v>0</v>
      </c>
      <c r="AD33" s="840">
        <f t="shared" si="118"/>
        <v>0</v>
      </c>
      <c r="AE33" s="841">
        <f t="shared" si="119"/>
        <v>0</v>
      </c>
      <c r="AF33" s="845" t="str">
        <f>Banding!L25</f>
        <v xml:space="preserve">101-300m3 </v>
      </c>
      <c r="AG33" s="834">
        <f t="shared" si="120"/>
        <v>15</v>
      </c>
      <c r="AH33" s="1626">
        <f t="shared" si="120"/>
        <v>87.75</v>
      </c>
      <c r="AI33" s="836">
        <f>Banding!O25</f>
        <v>0</v>
      </c>
      <c r="AJ33" s="837">
        <f t="shared" ref="AJ33:AJ42" si="133">Y33</f>
        <v>50</v>
      </c>
      <c r="AK33" s="837">
        <f>Banding!P25</f>
        <v>19448.88</v>
      </c>
      <c r="AL33" s="838">
        <f>(AH33*AK33)+(AI33*AJ33*12)</f>
        <v>1706639.2200000002</v>
      </c>
      <c r="AM33" s="844">
        <f>AL33/$AL$48</f>
        <v>8.3864679248192506E-3</v>
      </c>
      <c r="AN33" s="840">
        <f t="shared" si="127"/>
        <v>14586.66</v>
      </c>
      <c r="AO33" s="840">
        <f t="shared" si="121"/>
        <v>417273.28929000004</v>
      </c>
      <c r="AP33" s="841">
        <f t="shared" si="122"/>
        <v>9.359691274463287E-3</v>
      </c>
      <c r="AQ33" s="845" t="str">
        <f>Banding!L25</f>
        <v xml:space="preserve">101-300m3 </v>
      </c>
      <c r="AR33" s="834">
        <v>15</v>
      </c>
      <c r="AS33" s="1648">
        <v>165</v>
      </c>
      <c r="AT33" s="836">
        <f>Banding!Q25</f>
        <v>0</v>
      </c>
      <c r="AU33" s="837">
        <v>50</v>
      </c>
      <c r="AV33" s="837">
        <f>Banding!R25</f>
        <v>1765.6458589663862</v>
      </c>
      <c r="AW33" s="838">
        <f>(AS33*AV33)+(AT33*AU33*12)</f>
        <v>291331.56672945374</v>
      </c>
      <c r="AX33" s="844">
        <f>AW33/$AW$48</f>
        <v>7.4399483897566964E-4</v>
      </c>
      <c r="AY33" s="1762">
        <v>120</v>
      </c>
      <c r="AZ33" s="840">
        <f>AV33*$D$77</f>
        <v>1324.2343942247896</v>
      </c>
      <c r="BA33" s="840">
        <f t="shared" si="128"/>
        <v>51804.049502073773</v>
      </c>
      <c r="BB33" s="841">
        <f>BA33/$BA$48</f>
        <v>8.8845691084860718E-4</v>
      </c>
      <c r="BC33" s="834">
        <f>AR33</f>
        <v>15</v>
      </c>
      <c r="BD33" s="1730">
        <f t="shared" si="129"/>
        <v>165</v>
      </c>
      <c r="BE33" s="836">
        <f>Banding!S25</f>
        <v>0</v>
      </c>
      <c r="BF33" s="837">
        <f>AU33</f>
        <v>50</v>
      </c>
      <c r="BG33" s="836">
        <f>Banding!T25</f>
        <v>1765.6458589663862</v>
      </c>
      <c r="BH33" s="838">
        <f>(BD33*BG33)+(BE33*BF33*12)</f>
        <v>291331.56672945374</v>
      </c>
      <c r="BI33" s="844">
        <f>BH33/$BH$48</f>
        <v>7.3691333042882879E-4</v>
      </c>
      <c r="BJ33" s="1762">
        <v>120</v>
      </c>
      <c r="BK33" s="840">
        <f>BG33*$D$77</f>
        <v>1324.2343942247896</v>
      </c>
      <c r="BL33" s="840">
        <f t="shared" si="123"/>
        <v>51804.049502073773</v>
      </c>
      <c r="BM33" s="847">
        <f>BL33/$BL$48</f>
        <v>9.051240500422441E-4</v>
      </c>
      <c r="BN33" s="834">
        <f>BC33</f>
        <v>15</v>
      </c>
      <c r="BO33" s="1730">
        <f t="shared" si="130"/>
        <v>165</v>
      </c>
      <c r="BP33" s="836">
        <f>Banding!U25</f>
        <v>0</v>
      </c>
      <c r="BQ33" s="837">
        <f>BF33</f>
        <v>50</v>
      </c>
      <c r="BR33" s="836">
        <f>Banding!V25</f>
        <v>1791.9987822345413</v>
      </c>
      <c r="BS33" s="838">
        <f>(BO33*BR33)+(BP33*BQ33*12)</f>
        <v>295679.7990686993</v>
      </c>
      <c r="BT33" s="844">
        <f>BS33/$BS$48</f>
        <v>7.3678867257914022E-4</v>
      </c>
      <c r="BU33" s="1762">
        <v>120</v>
      </c>
      <c r="BV33" s="840">
        <f>BR33*$D$77</f>
        <v>1343.999086675906</v>
      </c>
      <c r="BW33" s="840">
        <f t="shared" si="124"/>
        <v>52577.244270761446</v>
      </c>
      <c r="BX33" s="847">
        <f>BW33/$BW$48</f>
        <v>9.051240500422441E-4</v>
      </c>
      <c r="BY33" s="834">
        <f>BN33</f>
        <v>15</v>
      </c>
      <c r="BZ33" s="1730">
        <f t="shared" si="131"/>
        <v>165</v>
      </c>
      <c r="CA33" s="836">
        <f>Banding!W25</f>
        <v>0</v>
      </c>
      <c r="CB33" s="837">
        <f>BQ33</f>
        <v>50</v>
      </c>
      <c r="CC33" s="836">
        <f>Banding!X25</f>
        <v>1818.3517055026964</v>
      </c>
      <c r="CD33" s="838">
        <f>(BZ33*CC33)+(CA33*CB33*12)</f>
        <v>300028.03140794492</v>
      </c>
      <c r="CE33" s="844">
        <f>CD33/$CD$48</f>
        <v>7.3665798973150546E-4</v>
      </c>
      <c r="CF33" s="1762">
        <v>120</v>
      </c>
      <c r="CG33" s="840">
        <f>CC33*$D$77</f>
        <v>1363.7637791270222</v>
      </c>
      <c r="CH33" s="840">
        <f t="shared" si="125"/>
        <v>53350.439039449113</v>
      </c>
      <c r="CI33" s="847">
        <f>CH33/$CH$48</f>
        <v>9.0512405004224399E-4</v>
      </c>
      <c r="CJ33" s="834">
        <f>BY33</f>
        <v>15</v>
      </c>
      <c r="CK33" s="1730">
        <f t="shared" si="132"/>
        <v>165</v>
      </c>
      <c r="CL33" s="836">
        <f>Banding!Y25</f>
        <v>3.0216419733222901</v>
      </c>
      <c r="CM33" s="863">
        <f>CB33</f>
        <v>50</v>
      </c>
      <c r="CN33" s="836">
        <f>Banding!Z25</f>
        <v>1844.7046287708515</v>
      </c>
      <c r="CO33" s="838">
        <f>(CK33*CN33)+(CL33*CM33*12)</f>
        <v>306189.24893118383</v>
      </c>
      <c r="CP33" s="844">
        <f>CO33/$CO$48</f>
        <v>7.4090836946675805E-4</v>
      </c>
      <c r="CQ33" s="1762">
        <v>120</v>
      </c>
      <c r="CR33" s="840">
        <f>CN33*$D$77</f>
        <v>1383.5284715781386</v>
      </c>
      <c r="CS33" s="840">
        <f t="shared" si="126"/>
        <v>54123.633808136787</v>
      </c>
      <c r="CT33" s="841">
        <f>CS33/$CS$48</f>
        <v>9.0512405004224399E-4</v>
      </c>
    </row>
    <row r="34" spans="1:99" ht="15">
      <c r="A34" s="833" t="str">
        <f>Banding!C26</f>
        <v xml:space="preserve">51-100m3 </v>
      </c>
      <c r="B34" s="834">
        <v>15</v>
      </c>
      <c r="C34" s="835">
        <v>108</v>
      </c>
      <c r="D34" s="836">
        <f>Banding!F26</f>
        <v>0</v>
      </c>
      <c r="E34" s="837">
        <v>50</v>
      </c>
      <c r="F34" s="836">
        <f>Banding!G26</f>
        <v>0</v>
      </c>
      <c r="G34" s="838">
        <f t="shared" si="102"/>
        <v>0</v>
      </c>
      <c r="H34" s="842">
        <f t="shared" si="103"/>
        <v>0</v>
      </c>
      <c r="I34" s="840">
        <f t="shared" si="104"/>
        <v>0</v>
      </c>
      <c r="J34" s="840">
        <f t="shared" si="105"/>
        <v>0</v>
      </c>
      <c r="K34" s="841">
        <f t="shared" si="106"/>
        <v>0</v>
      </c>
      <c r="L34" s="834">
        <v>15</v>
      </c>
      <c r="M34" s="835">
        <v>108</v>
      </c>
      <c r="N34" s="836">
        <f>Banding!H26</f>
        <v>0</v>
      </c>
      <c r="O34" s="837">
        <f t="shared" si="107"/>
        <v>50</v>
      </c>
      <c r="P34" s="836">
        <f>Banding!I26</f>
        <v>0</v>
      </c>
      <c r="Q34" s="838">
        <f t="shared" si="108"/>
        <v>0</v>
      </c>
      <c r="R34" s="842">
        <f t="shared" si="109"/>
        <v>0</v>
      </c>
      <c r="S34" s="840">
        <f t="shared" si="110"/>
        <v>0</v>
      </c>
      <c r="T34" s="840">
        <f t="shared" si="111"/>
        <v>0</v>
      </c>
      <c r="U34" s="841">
        <f t="shared" si="112"/>
        <v>0</v>
      </c>
      <c r="V34" s="843">
        <f t="shared" si="113"/>
        <v>15</v>
      </c>
      <c r="W34" s="835">
        <f t="shared" si="113"/>
        <v>108</v>
      </c>
      <c r="X34" s="836">
        <f>Banding!J26</f>
        <v>0</v>
      </c>
      <c r="Y34" s="837">
        <f t="shared" si="114"/>
        <v>50</v>
      </c>
      <c r="Z34" s="836">
        <f>Banding!K26</f>
        <v>0</v>
      </c>
      <c r="AA34" s="838">
        <f t="shared" si="115"/>
        <v>0</v>
      </c>
      <c r="AB34" s="844">
        <f t="shared" si="116"/>
        <v>0</v>
      </c>
      <c r="AC34" s="840">
        <f t="shared" si="117"/>
        <v>0</v>
      </c>
      <c r="AD34" s="840">
        <f t="shared" si="118"/>
        <v>0</v>
      </c>
      <c r="AE34" s="841">
        <f t="shared" si="119"/>
        <v>0</v>
      </c>
      <c r="AF34" s="845" t="str">
        <f>Banding!L26</f>
        <v>&gt;300m3</v>
      </c>
      <c r="AG34" s="834">
        <f t="shared" si="120"/>
        <v>15</v>
      </c>
      <c r="AH34" s="1626">
        <f t="shared" si="120"/>
        <v>108</v>
      </c>
      <c r="AI34" s="836">
        <f>Banding!O26</f>
        <v>0</v>
      </c>
      <c r="AJ34" s="837">
        <f t="shared" si="133"/>
        <v>50</v>
      </c>
      <c r="AK34" s="837">
        <f>Banding!P26</f>
        <v>14144.64</v>
      </c>
      <c r="AL34" s="838">
        <f>(AH34*AK34)+(AI34*AJ34*12)</f>
        <v>1527621.1199999999</v>
      </c>
      <c r="AM34" s="844">
        <f>AL34/$AL$48</f>
        <v>7.5067684921459009E-3</v>
      </c>
      <c r="AN34" s="840">
        <f t="shared" si="127"/>
        <v>10608.48</v>
      </c>
      <c r="AO34" s="840">
        <f t="shared" si="121"/>
        <v>373503.36383999995</v>
      </c>
      <c r="AP34" s="841">
        <f t="shared" si="122"/>
        <v>8.3779054764426611E-3</v>
      </c>
      <c r="AQ34" s="845" t="str">
        <f>Banding!L26</f>
        <v>&gt;300m3</v>
      </c>
      <c r="AR34" s="834">
        <v>15</v>
      </c>
      <c r="AS34" s="1648">
        <f>ROUNDUP(AH34*(1+D100),0)</f>
        <v>210</v>
      </c>
      <c r="AT34" s="836">
        <f>Banding!Q26</f>
        <v>0</v>
      </c>
      <c r="AU34" s="837">
        <v>50</v>
      </c>
      <c r="AV34" s="837">
        <f>Banding!R26</f>
        <v>1631.5336065813829</v>
      </c>
      <c r="AW34" s="838">
        <f>(AS34*AV34)+(AT34*AU34*12)</f>
        <v>342622.05738209042</v>
      </c>
      <c r="AX34" s="844">
        <f>AW34/$AW$48</f>
        <v>8.749791355367382E-4</v>
      </c>
      <c r="AY34" s="1762">
        <v>150</v>
      </c>
      <c r="AZ34" s="840">
        <f>AV34*$D$77</f>
        <v>1223.6502049360372</v>
      </c>
      <c r="BA34" s="840">
        <f t="shared" si="128"/>
        <v>59836.495021372219</v>
      </c>
      <c r="BB34" s="841">
        <f>BA34/$BA$48</f>
        <v>1.0262160590470497E-3</v>
      </c>
      <c r="BC34" s="834">
        <f>AR34</f>
        <v>15</v>
      </c>
      <c r="BD34" s="1730">
        <f t="shared" si="129"/>
        <v>210</v>
      </c>
      <c r="BE34" s="836">
        <f>Banding!S26</f>
        <v>0</v>
      </c>
      <c r="BF34" s="837">
        <f>AU34</f>
        <v>50</v>
      </c>
      <c r="BG34" s="836">
        <f>Banding!T26</f>
        <v>1631.5336065813829</v>
      </c>
      <c r="BH34" s="838">
        <f>(BD34*BG34)+(BE34*BF34*12)</f>
        <v>342622.05738209042</v>
      </c>
      <c r="BI34" s="844">
        <f>BH34/$BH$48</f>
        <v>8.6665088928822699E-4</v>
      </c>
      <c r="BJ34" s="1762">
        <v>150</v>
      </c>
      <c r="BK34" s="840">
        <f>BG34*$D$77</f>
        <v>1223.6502049360372</v>
      </c>
      <c r="BL34" s="840">
        <f t="shared" si="123"/>
        <v>59836.495021372219</v>
      </c>
      <c r="BM34" s="847">
        <f>BL34/$BL$48</f>
        <v>1.0454675114135417E-3</v>
      </c>
      <c r="BN34" s="834">
        <f>BC34</f>
        <v>15</v>
      </c>
      <c r="BO34" s="1730">
        <f t="shared" si="130"/>
        <v>210</v>
      </c>
      <c r="BP34" s="836">
        <f>Banding!U26</f>
        <v>0</v>
      </c>
      <c r="BQ34" s="837">
        <f>BF34</f>
        <v>50</v>
      </c>
      <c r="BR34" s="836">
        <f>Banding!V26</f>
        <v>1655.8848544408065</v>
      </c>
      <c r="BS34" s="838">
        <f>(BO34*BR34)+(BP34*BQ34*12)</f>
        <v>347735.81943256938</v>
      </c>
      <c r="BT34" s="844">
        <f>BS34/$BS$48</f>
        <v>8.6650428475302827E-4</v>
      </c>
      <c r="BU34" s="1762">
        <v>150</v>
      </c>
      <c r="BV34" s="840">
        <f>BR34*$D$77</f>
        <v>1241.9136408306049</v>
      </c>
      <c r="BW34" s="840">
        <f t="shared" si="124"/>
        <v>60729.577036616582</v>
      </c>
      <c r="BX34" s="847">
        <f>BW34/$BW$48</f>
        <v>1.0454675114135417E-3</v>
      </c>
      <c r="BY34" s="834">
        <f>BN34</f>
        <v>15</v>
      </c>
      <c r="BZ34" s="1730">
        <f t="shared" si="131"/>
        <v>210</v>
      </c>
      <c r="CA34" s="836">
        <f>Banding!W26</f>
        <v>0</v>
      </c>
      <c r="CB34" s="837">
        <f>BQ34</f>
        <v>50</v>
      </c>
      <c r="CC34" s="836">
        <f>Banding!X26</f>
        <v>1680.2361023002302</v>
      </c>
      <c r="CD34" s="838">
        <f>(BZ34*CC34)+(CA34*CB34*12)</f>
        <v>352849.58148304833</v>
      </c>
      <c r="CE34" s="844">
        <f>CD34/$CD$48</f>
        <v>8.6635059448656013E-4</v>
      </c>
      <c r="CF34" s="1762">
        <v>150</v>
      </c>
      <c r="CG34" s="840">
        <f>CC34*$D$77</f>
        <v>1260.1770767251726</v>
      </c>
      <c r="CH34" s="840">
        <f t="shared" si="125"/>
        <v>61622.659051860945</v>
      </c>
      <c r="CI34" s="847">
        <f>CH34/$CH$48</f>
        <v>1.0454675114135417E-3</v>
      </c>
      <c r="CJ34" s="834">
        <f>BY34</f>
        <v>15</v>
      </c>
      <c r="CK34" s="1730">
        <f t="shared" si="132"/>
        <v>210</v>
      </c>
      <c r="CL34" s="836">
        <f>Banding!Y26</f>
        <v>0.30216419733222899</v>
      </c>
      <c r="CM34" s="863">
        <f>CB34</f>
        <v>50</v>
      </c>
      <c r="CN34" s="836">
        <f>Banding!Z26</f>
        <v>1704.5873501596539</v>
      </c>
      <c r="CO34" s="838">
        <f>(CK34*CN34)+(CL34*CM34*12)</f>
        <v>358144.64205192664</v>
      </c>
      <c r="CP34" s="844">
        <f>CO34/$CO$48</f>
        <v>8.6662860862102547E-4</v>
      </c>
      <c r="CQ34" s="1762">
        <v>150</v>
      </c>
      <c r="CR34" s="840">
        <f>CN34*$D$77</f>
        <v>1278.4405126197403</v>
      </c>
      <c r="CS34" s="840">
        <f>(CR34*CQ34*$E$75)</f>
        <v>62515.741067105308</v>
      </c>
      <c r="CT34" s="841">
        <f>CS34/$CS$48</f>
        <v>1.0454675114135415E-3</v>
      </c>
    </row>
    <row r="35" spans="1:99" ht="15">
      <c r="A35" s="833" t="str">
        <f>Banding!C27</f>
        <v xml:space="preserve">101-300m3 </v>
      </c>
      <c r="B35" s="834">
        <v>15</v>
      </c>
      <c r="C35" s="835">
        <v>135</v>
      </c>
      <c r="D35" s="836">
        <f>Banding!F27</f>
        <v>0</v>
      </c>
      <c r="E35" s="837">
        <v>50</v>
      </c>
      <c r="F35" s="836">
        <f>Banding!G27</f>
        <v>0</v>
      </c>
      <c r="G35" s="838">
        <f t="shared" si="102"/>
        <v>0</v>
      </c>
      <c r="H35" s="842">
        <f t="shared" si="103"/>
        <v>0</v>
      </c>
      <c r="I35" s="840">
        <f t="shared" si="104"/>
        <v>0</v>
      </c>
      <c r="J35" s="840">
        <f t="shared" si="105"/>
        <v>0</v>
      </c>
      <c r="K35" s="841">
        <f t="shared" si="106"/>
        <v>0</v>
      </c>
      <c r="L35" s="834">
        <v>15</v>
      </c>
      <c r="M35" s="835">
        <v>135</v>
      </c>
      <c r="N35" s="836">
        <f>Banding!H27</f>
        <v>0</v>
      </c>
      <c r="O35" s="837">
        <f t="shared" si="107"/>
        <v>50</v>
      </c>
      <c r="P35" s="836">
        <f>Banding!I27</f>
        <v>0</v>
      </c>
      <c r="Q35" s="838">
        <f t="shared" si="108"/>
        <v>0</v>
      </c>
      <c r="R35" s="842">
        <f t="shared" si="109"/>
        <v>0</v>
      </c>
      <c r="S35" s="840">
        <f t="shared" si="110"/>
        <v>0</v>
      </c>
      <c r="T35" s="840">
        <f t="shared" si="111"/>
        <v>0</v>
      </c>
      <c r="U35" s="841">
        <f t="shared" si="112"/>
        <v>0</v>
      </c>
      <c r="V35" s="843">
        <f t="shared" si="113"/>
        <v>15</v>
      </c>
      <c r="W35" s="835">
        <f t="shared" si="113"/>
        <v>135</v>
      </c>
      <c r="X35" s="836">
        <f>Banding!J27</f>
        <v>0</v>
      </c>
      <c r="Y35" s="837">
        <f t="shared" si="114"/>
        <v>50</v>
      </c>
      <c r="Z35" s="836">
        <f>Banding!K27</f>
        <v>0</v>
      </c>
      <c r="AA35" s="838">
        <f t="shared" si="115"/>
        <v>0</v>
      </c>
      <c r="AB35" s="844">
        <f t="shared" si="116"/>
        <v>0</v>
      </c>
      <c r="AC35" s="840">
        <f t="shared" si="117"/>
        <v>0</v>
      </c>
      <c r="AD35" s="840">
        <f t="shared" si="118"/>
        <v>0</v>
      </c>
      <c r="AE35" s="841">
        <f t="shared" si="119"/>
        <v>0</v>
      </c>
      <c r="AF35" s="845"/>
      <c r="AG35" s="834"/>
      <c r="AH35" s="1626">
        <f>W35</f>
        <v>135</v>
      </c>
      <c r="AI35" s="836">
        <f>Banding!O27</f>
        <v>0</v>
      </c>
      <c r="AJ35" s="837">
        <f t="shared" si="133"/>
        <v>50</v>
      </c>
      <c r="AK35" s="837">
        <f>Banding!P27</f>
        <v>5304.24</v>
      </c>
      <c r="AL35" s="838">
        <f>(AH35*AK35)+(AI35*AJ35*12)</f>
        <v>716072.4</v>
      </c>
      <c r="AM35" s="844">
        <f t="shared" ref="AM35:AM37" si="134">AL35/$AL$48</f>
        <v>3.5187977306933914E-3</v>
      </c>
      <c r="AN35" s="840">
        <f t="shared" si="127"/>
        <v>3978.18</v>
      </c>
      <c r="AO35" s="840">
        <f t="shared" si="121"/>
        <v>175079.70179999998</v>
      </c>
      <c r="AP35" s="841">
        <f t="shared" si="122"/>
        <v>3.9271431920824976E-3</v>
      </c>
      <c r="AQ35" s="845"/>
      <c r="AR35" s="834"/>
      <c r="AS35" s="1648"/>
      <c r="AT35" s="836"/>
      <c r="AU35" s="837"/>
      <c r="AV35" s="837"/>
      <c r="AW35" s="838"/>
      <c r="AX35" s="844"/>
      <c r="AY35" s="1752"/>
      <c r="AZ35" s="840"/>
      <c r="BA35" s="840"/>
      <c r="BB35" s="841"/>
      <c r="BC35" s="834"/>
      <c r="BD35" s="1730"/>
      <c r="BE35" s="836"/>
      <c r="BF35" s="837"/>
      <c r="BG35" s="836"/>
      <c r="BH35" s="838"/>
      <c r="BI35" s="844"/>
      <c r="BJ35" s="1752"/>
      <c r="BK35" s="840"/>
      <c r="BL35" s="840"/>
      <c r="BM35" s="847"/>
      <c r="BN35" s="834"/>
      <c r="BO35" s="1730"/>
      <c r="BP35" s="836"/>
      <c r="BQ35" s="837"/>
      <c r="BR35" s="836"/>
      <c r="BS35" s="838"/>
      <c r="BT35" s="844"/>
      <c r="BU35" s="1752"/>
      <c r="BV35" s="840"/>
      <c r="BW35" s="840"/>
      <c r="BX35" s="847"/>
      <c r="BY35" s="834"/>
      <c r="BZ35" s="1730"/>
      <c r="CA35" s="836"/>
      <c r="CB35" s="837"/>
      <c r="CC35" s="836"/>
      <c r="CD35" s="838"/>
      <c r="CE35" s="844"/>
      <c r="CF35" s="1752"/>
      <c r="CG35" s="840"/>
      <c r="CH35" s="840"/>
      <c r="CI35" s="847"/>
      <c r="CJ35" s="834"/>
      <c r="CK35" s="1730"/>
      <c r="CL35" s="836"/>
      <c r="CM35" s="863"/>
      <c r="CN35" s="836"/>
      <c r="CO35" s="838"/>
      <c r="CP35" s="844"/>
      <c r="CQ35" s="1752"/>
      <c r="CR35" s="840"/>
      <c r="CS35" s="840"/>
      <c r="CT35" s="841"/>
    </row>
    <row r="36" spans="1:99" ht="15">
      <c r="A36" s="833" t="str">
        <f>Banding!C28</f>
        <v>&gt;300m3</v>
      </c>
      <c r="B36" s="834">
        <v>15</v>
      </c>
      <c r="C36" s="835">
        <v>175</v>
      </c>
      <c r="D36" s="836">
        <f>Banding!F28</f>
        <v>0</v>
      </c>
      <c r="E36" s="837">
        <v>50</v>
      </c>
      <c r="F36" s="836">
        <f>Banding!G28</f>
        <v>0</v>
      </c>
      <c r="G36" s="838">
        <f t="shared" si="102"/>
        <v>0</v>
      </c>
      <c r="H36" s="842">
        <f t="shared" si="103"/>
        <v>0</v>
      </c>
      <c r="I36" s="840">
        <f t="shared" si="104"/>
        <v>0</v>
      </c>
      <c r="J36" s="840">
        <f t="shared" si="105"/>
        <v>0</v>
      </c>
      <c r="K36" s="841">
        <f t="shared" si="106"/>
        <v>0</v>
      </c>
      <c r="L36" s="834">
        <v>15</v>
      </c>
      <c r="M36" s="835">
        <v>175</v>
      </c>
      <c r="N36" s="836">
        <f>Banding!H28</f>
        <v>0</v>
      </c>
      <c r="O36" s="837">
        <f t="shared" si="107"/>
        <v>50</v>
      </c>
      <c r="P36" s="836">
        <f>Banding!I28</f>
        <v>0</v>
      </c>
      <c r="Q36" s="838">
        <f t="shared" si="108"/>
        <v>0</v>
      </c>
      <c r="R36" s="842">
        <f t="shared" si="109"/>
        <v>0</v>
      </c>
      <c r="S36" s="840">
        <f t="shared" si="110"/>
        <v>0</v>
      </c>
      <c r="T36" s="840">
        <f t="shared" si="111"/>
        <v>0</v>
      </c>
      <c r="U36" s="841">
        <f t="shared" si="112"/>
        <v>0</v>
      </c>
      <c r="V36" s="843">
        <f t="shared" si="113"/>
        <v>15</v>
      </c>
      <c r="W36" s="835">
        <f t="shared" si="113"/>
        <v>175</v>
      </c>
      <c r="X36" s="836">
        <f>Banding!J28</f>
        <v>0</v>
      </c>
      <c r="Y36" s="837">
        <f t="shared" si="114"/>
        <v>50</v>
      </c>
      <c r="Z36" s="836">
        <f>Banding!K28</f>
        <v>0</v>
      </c>
      <c r="AA36" s="838">
        <f t="shared" si="115"/>
        <v>0</v>
      </c>
      <c r="AB36" s="844">
        <f t="shared" si="116"/>
        <v>0</v>
      </c>
      <c r="AC36" s="840">
        <f t="shared" si="117"/>
        <v>0</v>
      </c>
      <c r="AD36" s="840">
        <f t="shared" si="118"/>
        <v>0</v>
      </c>
      <c r="AE36" s="841">
        <f t="shared" si="119"/>
        <v>0</v>
      </c>
      <c r="AF36" s="845"/>
      <c r="AG36" s="834"/>
      <c r="AH36" s="1626">
        <f>W36</f>
        <v>175</v>
      </c>
      <c r="AI36" s="836">
        <f>Banding!O28</f>
        <v>0</v>
      </c>
      <c r="AJ36" s="837">
        <f t="shared" si="133"/>
        <v>50</v>
      </c>
      <c r="AK36" s="837">
        <f>Banding!P28</f>
        <v>2652.12</v>
      </c>
      <c r="AL36" s="838">
        <f t="shared" ref="AL36:AL37" si="135">(AH36*AK36)+(AI36*AJ36*12)</f>
        <v>464121</v>
      </c>
      <c r="AM36" s="844">
        <f t="shared" si="134"/>
        <v>2.2807022328568279E-3</v>
      </c>
      <c r="AN36" s="840">
        <f t="shared" si="127"/>
        <v>1989.09</v>
      </c>
      <c r="AO36" s="840">
        <f t="shared" si="121"/>
        <v>113477.5845</v>
      </c>
      <c r="AP36" s="841">
        <f t="shared" si="122"/>
        <v>2.545370587460878E-3</v>
      </c>
      <c r="AQ36" s="845"/>
      <c r="AR36" s="834"/>
      <c r="AS36" s="1648"/>
      <c r="AT36" s="836"/>
      <c r="AU36" s="837"/>
      <c r="AV36" s="837"/>
      <c r="AW36" s="838"/>
      <c r="AX36" s="844"/>
      <c r="AY36" s="1752"/>
      <c r="AZ36" s="840"/>
      <c r="BA36" s="840"/>
      <c r="BB36" s="841"/>
      <c r="BC36" s="834"/>
      <c r="BD36" s="1730"/>
      <c r="BE36" s="836"/>
      <c r="BF36" s="837"/>
      <c r="BG36" s="836"/>
      <c r="BH36" s="838"/>
      <c r="BI36" s="844"/>
      <c r="BJ36" s="1752"/>
      <c r="BK36" s="840"/>
      <c r="BL36" s="840"/>
      <c r="BM36" s="847"/>
      <c r="BN36" s="834"/>
      <c r="BO36" s="1730"/>
      <c r="BP36" s="836"/>
      <c r="BQ36" s="837"/>
      <c r="BR36" s="836"/>
      <c r="BS36" s="838"/>
      <c r="BT36" s="844"/>
      <c r="BU36" s="1752"/>
      <c r="BV36" s="840"/>
      <c r="BW36" s="840"/>
      <c r="BX36" s="847"/>
      <c r="BY36" s="834"/>
      <c r="BZ36" s="1730"/>
      <c r="CA36" s="836"/>
      <c r="CB36" s="837"/>
      <c r="CC36" s="836"/>
      <c r="CD36" s="838"/>
      <c r="CE36" s="844"/>
      <c r="CF36" s="1752"/>
      <c r="CG36" s="840"/>
      <c r="CH36" s="840"/>
      <c r="CI36" s="847"/>
      <c r="CJ36" s="834"/>
      <c r="CK36" s="1730"/>
      <c r="CL36" s="836"/>
      <c r="CM36" s="863"/>
      <c r="CN36" s="836"/>
      <c r="CO36" s="838"/>
      <c r="CP36" s="844"/>
      <c r="CQ36" s="1752"/>
      <c r="CR36" s="840"/>
      <c r="CS36" s="840"/>
      <c r="CT36" s="841"/>
    </row>
    <row r="37" spans="1:99" ht="15">
      <c r="A37" s="848"/>
      <c r="B37" s="834"/>
      <c r="C37" s="835"/>
      <c r="D37" s="869"/>
      <c r="E37" s="867"/>
      <c r="F37" s="869"/>
      <c r="G37" s="868"/>
      <c r="H37" s="860"/>
      <c r="I37" s="852"/>
      <c r="J37" s="852"/>
      <c r="K37" s="870"/>
      <c r="L37" s="834"/>
      <c r="M37" s="835"/>
      <c r="N37" s="836"/>
      <c r="O37" s="837"/>
      <c r="P37" s="836"/>
      <c r="Q37" s="836"/>
      <c r="R37" s="862"/>
      <c r="S37" s="840"/>
      <c r="T37" s="840"/>
      <c r="U37" s="841"/>
      <c r="V37" s="843"/>
      <c r="W37" s="835"/>
      <c r="X37" s="869"/>
      <c r="Y37" s="867"/>
      <c r="Z37" s="869"/>
      <c r="AA37" s="868"/>
      <c r="AB37" s="844"/>
      <c r="AC37" s="840"/>
      <c r="AD37" s="840"/>
      <c r="AE37" s="865"/>
      <c r="AF37" s="871"/>
      <c r="AG37" s="834"/>
      <c r="AH37" s="1626"/>
      <c r="AI37" s="836"/>
      <c r="AJ37" s="837">
        <f t="shared" si="133"/>
        <v>0</v>
      </c>
      <c r="AK37" s="837">
        <f>Banding!P29</f>
        <v>0</v>
      </c>
      <c r="AL37" s="838">
        <f t="shared" si="135"/>
        <v>0</v>
      </c>
      <c r="AM37" s="844">
        <f t="shared" si="134"/>
        <v>0</v>
      </c>
      <c r="AN37" s="840"/>
      <c r="AO37" s="840"/>
      <c r="AP37" s="858"/>
      <c r="AQ37" s="855"/>
      <c r="AR37" s="834"/>
      <c r="AS37" s="1648"/>
      <c r="AT37" s="836"/>
      <c r="AU37" s="837"/>
      <c r="AV37" s="837"/>
      <c r="AW37" s="836"/>
      <c r="AX37" s="844"/>
      <c r="AY37" s="1752"/>
      <c r="AZ37" s="840"/>
      <c r="BA37" s="840"/>
      <c r="BB37" s="841"/>
      <c r="BC37" s="834"/>
      <c r="BD37" s="1730"/>
      <c r="BE37" s="836"/>
      <c r="BF37" s="837"/>
      <c r="BG37" s="836"/>
      <c r="BH37" s="838"/>
      <c r="BI37" s="844"/>
      <c r="BJ37" s="1752"/>
      <c r="BK37" s="840"/>
      <c r="BL37" s="840"/>
      <c r="BM37" s="847"/>
      <c r="BN37" s="834"/>
      <c r="BO37" s="1730"/>
      <c r="BP37" s="836"/>
      <c r="BQ37" s="837"/>
      <c r="BR37" s="836"/>
      <c r="BS37" s="836"/>
      <c r="BT37" s="844"/>
      <c r="BU37" s="1752"/>
      <c r="BV37" s="840"/>
      <c r="BW37" s="840"/>
      <c r="BX37" s="847"/>
      <c r="BY37" s="857"/>
      <c r="BZ37" s="1730"/>
      <c r="CA37" s="836"/>
      <c r="CB37" s="837"/>
      <c r="CC37" s="836"/>
      <c r="CD37" s="836"/>
      <c r="CE37" s="844"/>
      <c r="CF37" s="1752"/>
      <c r="CG37" s="840"/>
      <c r="CH37" s="840"/>
      <c r="CI37" s="847"/>
      <c r="CJ37" s="857"/>
      <c r="CK37" s="1730"/>
      <c r="CL37" s="836"/>
      <c r="CM37" s="863"/>
      <c r="CN37" s="836"/>
      <c r="CO37" s="836"/>
      <c r="CP37" s="844"/>
      <c r="CQ37" s="1752"/>
      <c r="CR37" s="840"/>
      <c r="CS37" s="840"/>
      <c r="CT37" s="841"/>
    </row>
    <row r="38" spans="1:99" ht="15" customHeight="1">
      <c r="A38" s="819" t="s">
        <v>204</v>
      </c>
      <c r="B38" s="834"/>
      <c r="C38" s="835"/>
      <c r="D38" s="872"/>
      <c r="E38" s="872"/>
      <c r="F38" s="872"/>
      <c r="G38" s="873"/>
      <c r="H38" s="265"/>
      <c r="I38" s="874"/>
      <c r="J38" s="874"/>
      <c r="K38" s="875"/>
      <c r="L38" s="834"/>
      <c r="M38" s="835"/>
      <c r="N38" s="835"/>
      <c r="O38" s="835"/>
      <c r="P38" s="835"/>
      <c r="Q38" s="835"/>
      <c r="R38" s="842"/>
      <c r="S38" s="840"/>
      <c r="T38" s="840"/>
      <c r="U38" s="841"/>
      <c r="V38" s="843"/>
      <c r="W38" s="835"/>
      <c r="X38" s="872"/>
      <c r="Y38" s="872"/>
      <c r="Z38" s="872"/>
      <c r="AA38" s="873"/>
      <c r="AB38" s="844"/>
      <c r="AC38" s="840"/>
      <c r="AD38" s="840"/>
      <c r="AE38" s="841"/>
      <c r="AF38" s="819" t="s">
        <v>204</v>
      </c>
      <c r="AG38" s="834"/>
      <c r="AH38" s="1627"/>
      <c r="AI38" s="836"/>
      <c r="AJ38" s="837">
        <f t="shared" si="133"/>
        <v>0</v>
      </c>
      <c r="AK38" s="836"/>
      <c r="AL38" s="836"/>
      <c r="AM38" s="862"/>
      <c r="AN38" s="840"/>
      <c r="AO38" s="840"/>
      <c r="AP38" s="858"/>
      <c r="AQ38" s="819" t="s">
        <v>204</v>
      </c>
      <c r="AR38" s="834"/>
      <c r="AS38" s="1648"/>
      <c r="AT38" s="836"/>
      <c r="AU38" s="836"/>
      <c r="AV38" s="836"/>
      <c r="AW38" s="836"/>
      <c r="AX38" s="844"/>
      <c r="AY38" s="1752"/>
      <c r="AZ38" s="840"/>
      <c r="BA38" s="840"/>
      <c r="BB38" s="858"/>
      <c r="BC38" s="834"/>
      <c r="BD38" s="1730"/>
      <c r="BE38" s="836"/>
      <c r="BF38" s="837"/>
      <c r="BG38" s="836"/>
      <c r="BH38" s="838"/>
      <c r="BI38" s="862"/>
      <c r="BJ38" s="1752"/>
      <c r="BK38" s="840"/>
      <c r="BL38" s="840"/>
      <c r="BM38" s="858"/>
      <c r="BN38" s="834"/>
      <c r="BO38" s="1730"/>
      <c r="BP38" s="837"/>
      <c r="BQ38" s="837"/>
      <c r="BR38" s="837"/>
      <c r="BS38" s="837"/>
      <c r="BT38" s="844"/>
      <c r="BU38" s="1752"/>
      <c r="BV38" s="840"/>
      <c r="BW38" s="840"/>
      <c r="BX38" s="858"/>
      <c r="BY38" s="876"/>
      <c r="BZ38" s="1730"/>
      <c r="CA38" s="835"/>
      <c r="CB38" s="835"/>
      <c r="CC38" s="835"/>
      <c r="CD38" s="835"/>
      <c r="CE38" s="862"/>
      <c r="CF38" s="1752"/>
      <c r="CG38" s="840"/>
      <c r="CH38" s="840"/>
      <c r="CI38" s="858"/>
      <c r="CJ38" s="876"/>
      <c r="CK38" s="1730"/>
      <c r="CL38" s="836"/>
      <c r="CM38" s="863"/>
      <c r="CN38" s="836"/>
      <c r="CO38" s="836"/>
      <c r="CP38" s="862"/>
      <c r="CQ38" s="1752"/>
      <c r="CR38" s="840"/>
      <c r="CS38" s="840"/>
      <c r="CT38" s="858"/>
    </row>
    <row r="39" spans="1:99" ht="13.7" customHeight="1">
      <c r="A39" s="826" t="s">
        <v>11</v>
      </c>
      <c r="B39" s="834"/>
      <c r="C39" s="835"/>
      <c r="D39" s="835"/>
      <c r="E39" s="835"/>
      <c r="F39" s="835"/>
      <c r="G39" s="835"/>
      <c r="H39" s="265"/>
      <c r="I39" s="877"/>
      <c r="J39" s="877"/>
      <c r="K39" s="878"/>
      <c r="L39" s="834"/>
      <c r="M39" s="835"/>
      <c r="N39" s="835"/>
      <c r="O39" s="835"/>
      <c r="P39" s="835"/>
      <c r="Q39" s="835"/>
      <c r="R39" s="842"/>
      <c r="S39" s="840"/>
      <c r="T39" s="840"/>
      <c r="U39" s="841"/>
      <c r="V39" s="843"/>
      <c r="W39" s="835"/>
      <c r="X39" s="879"/>
      <c r="Y39" s="879"/>
      <c r="Z39" s="879"/>
      <c r="AA39" s="880"/>
      <c r="AB39" s="881"/>
      <c r="AC39" s="840"/>
      <c r="AD39" s="840"/>
      <c r="AE39" s="841"/>
      <c r="AF39" s="826" t="s">
        <v>11</v>
      </c>
      <c r="AG39" s="834"/>
      <c r="AH39" s="1627"/>
      <c r="AI39" s="836"/>
      <c r="AJ39" s="837">
        <f t="shared" si="133"/>
        <v>0</v>
      </c>
      <c r="AK39" s="836"/>
      <c r="AL39" s="836"/>
      <c r="AM39" s="862"/>
      <c r="AN39" s="840"/>
      <c r="AO39" s="840"/>
      <c r="AP39" s="858"/>
      <c r="AQ39" s="826" t="s">
        <v>11</v>
      </c>
      <c r="AR39" s="882"/>
      <c r="AS39" s="1648"/>
      <c r="AT39" s="836"/>
      <c r="AU39" s="836"/>
      <c r="AV39" s="836"/>
      <c r="AW39" s="836"/>
      <c r="AX39" s="844"/>
      <c r="AY39" s="1752"/>
      <c r="AZ39" s="840"/>
      <c r="BA39" s="840"/>
      <c r="BB39" s="858"/>
      <c r="BC39" s="834"/>
      <c r="BD39" s="1730"/>
      <c r="BE39" s="836"/>
      <c r="BF39" s="837"/>
      <c r="BG39" s="836"/>
      <c r="BH39" s="838"/>
      <c r="BI39" s="862"/>
      <c r="BJ39" s="1752"/>
      <c r="BK39" s="840"/>
      <c r="BL39" s="840"/>
      <c r="BM39" s="858"/>
      <c r="BN39" s="834"/>
      <c r="BO39" s="1730"/>
      <c r="BP39" s="837"/>
      <c r="BQ39" s="837"/>
      <c r="BR39" s="837"/>
      <c r="BS39" s="837"/>
      <c r="BT39" s="844"/>
      <c r="BU39" s="1752"/>
      <c r="BV39" s="840"/>
      <c r="BW39" s="840"/>
      <c r="BX39" s="858"/>
      <c r="BY39" s="834"/>
      <c r="BZ39" s="1730"/>
      <c r="CA39" s="835"/>
      <c r="CB39" s="835"/>
      <c r="CC39" s="835"/>
      <c r="CD39" s="835"/>
      <c r="CE39" s="862"/>
      <c r="CF39" s="1752"/>
      <c r="CG39" s="877"/>
      <c r="CH39" s="840"/>
      <c r="CI39" s="858"/>
      <c r="CJ39" s="882"/>
      <c r="CK39" s="1730"/>
      <c r="CL39" s="836"/>
      <c r="CM39" s="863"/>
      <c r="CN39" s="836"/>
      <c r="CO39" s="836"/>
      <c r="CP39" s="862"/>
      <c r="CQ39" s="1752"/>
      <c r="CR39" s="840"/>
      <c r="CS39" s="840"/>
      <c r="CT39" s="858"/>
    </row>
    <row r="40" spans="1:99" ht="13.7" customHeight="1">
      <c r="A40" s="833" t="s">
        <v>13</v>
      </c>
      <c r="B40" s="834">
        <v>15</v>
      </c>
      <c r="C40" s="835">
        <v>54</v>
      </c>
      <c r="D40" s="836">
        <f>Banding!F32</f>
        <v>117.76</v>
      </c>
      <c r="E40" s="837">
        <v>50</v>
      </c>
      <c r="F40" s="836">
        <f>Banding!G32</f>
        <v>230195.69999999998</v>
      </c>
      <c r="G40" s="838">
        <f>(C40*F40)+(D40*E40*12)</f>
        <v>12501223.799999999</v>
      </c>
      <c r="H40" s="842">
        <f>G40/$G$48</f>
        <v>7.1451597696488664E-2</v>
      </c>
      <c r="I40" s="840">
        <f>F40*$D$78</f>
        <v>172646.77499999999</v>
      </c>
      <c r="J40" s="840">
        <f>C40*I40*$E$75</f>
        <v>3039273.8270999999</v>
      </c>
      <c r="K40" s="841">
        <f>J40/$J$48</f>
        <v>7.7649129575001419E-2</v>
      </c>
      <c r="L40" s="834">
        <f>B40</f>
        <v>15</v>
      </c>
      <c r="M40" s="835">
        <v>48</v>
      </c>
      <c r="N40" s="836">
        <f>Banding!H32</f>
        <v>120.52000000000001</v>
      </c>
      <c r="O40" s="837">
        <f>E40</f>
        <v>50</v>
      </c>
      <c r="P40" s="836">
        <f>Banding!I32</f>
        <v>247781.09999999998</v>
      </c>
      <c r="Q40" s="838">
        <f>(M40*P40)+(N40*O40*12)</f>
        <v>11965804.799999999</v>
      </c>
      <c r="R40" s="842">
        <f>Q40/$Q$48</f>
        <v>6.6416171732441825E-2</v>
      </c>
      <c r="S40" s="840">
        <f>P40*$D$78</f>
        <v>185835.82499999998</v>
      </c>
      <c r="T40" s="840">
        <f>M40*S40*$E$75</f>
        <v>2907958.9896</v>
      </c>
      <c r="U40" s="841">
        <f>T40/$T$48</f>
        <v>0.14636793841909504</v>
      </c>
      <c r="V40" s="843">
        <f t="shared" ref="V40:W42" si="136">L40</f>
        <v>15</v>
      </c>
      <c r="W40" s="835">
        <f t="shared" si="136"/>
        <v>48</v>
      </c>
      <c r="X40" s="836">
        <f>Banding!J32</f>
        <v>123.28</v>
      </c>
      <c r="Y40" s="837">
        <f>O40</f>
        <v>50</v>
      </c>
      <c r="Z40" s="836">
        <f>Banding!K32</f>
        <v>247781.09999999998</v>
      </c>
      <c r="AA40" s="838">
        <f>(W40*Z40)+(X40*Y40*12)</f>
        <v>11967460.799999999</v>
      </c>
      <c r="AB40" s="844">
        <f>AA40/$AA$48</f>
        <v>6.4928594709891152E-2</v>
      </c>
      <c r="AC40" s="840">
        <f>Z40*$D$78</f>
        <v>185835.82499999998</v>
      </c>
      <c r="AD40" s="840">
        <f>W40*AC40*$E$75</f>
        <v>2907958.9896</v>
      </c>
      <c r="AE40" s="841">
        <f>AD40/$AD$48</f>
        <v>6.8466778896795893E-2</v>
      </c>
      <c r="AF40" s="845" t="str">
        <f>Banding!L32</f>
        <v xml:space="preserve">1-600m3 </v>
      </c>
      <c r="AG40" s="834">
        <f t="shared" ref="AG40:AH42" si="137">V40</f>
        <v>15</v>
      </c>
      <c r="AH40" s="1627">
        <f t="shared" si="137"/>
        <v>48</v>
      </c>
      <c r="AI40" s="836">
        <f>Banding!O32</f>
        <v>125.89253464961008</v>
      </c>
      <c r="AJ40" s="837">
        <f t="shared" si="133"/>
        <v>50</v>
      </c>
      <c r="AK40" s="836">
        <f>Banding!P32</f>
        <v>136903.19999999998</v>
      </c>
      <c r="AL40" s="838">
        <f>(AH40*AK40)+(AI40*AJ40*12)</f>
        <v>6646889.1207897654</v>
      </c>
      <c r="AM40" s="844">
        <f>AL40/$AL$48</f>
        <v>3.266297982495292E-2</v>
      </c>
      <c r="AN40" s="840">
        <f>AK40*$D$78</f>
        <v>102677.4</v>
      </c>
      <c r="AO40" s="840">
        <f>AH40*AN40*$E$75</f>
        <v>1606695.9551999997</v>
      </c>
      <c r="AP40" s="841">
        <f>AO40/$AO$48</f>
        <v>3.6039158265291062E-2</v>
      </c>
      <c r="AQ40" s="845" t="str">
        <f>Banding!L32</f>
        <v xml:space="preserve">1-600m3 </v>
      </c>
      <c r="AR40" s="834">
        <v>15</v>
      </c>
      <c r="AS40" s="1648">
        <v>90</v>
      </c>
      <c r="AT40" s="836">
        <f>Banding!Q32</f>
        <v>132.59768051681758</v>
      </c>
      <c r="AU40" s="837">
        <v>50</v>
      </c>
      <c r="AV40" s="836">
        <f>Banding!R32</f>
        <v>350063.1742396038</v>
      </c>
      <c r="AW40" s="838">
        <f>(AS40*AV40)+(AT40*AU40*12)</f>
        <v>31585244.289874434</v>
      </c>
      <c r="AX40" s="844">
        <f>AW40/$AW$48</f>
        <v>8.0661560308275829E-2</v>
      </c>
      <c r="AY40" s="1762">
        <v>60</v>
      </c>
      <c r="AZ40" s="840">
        <f>AV40*$D$78</f>
        <v>262547.38067970285</v>
      </c>
      <c r="BA40" s="840">
        <f>(AY40*AZ40*$E$75)</f>
        <v>5135426.7660949882</v>
      </c>
      <c r="BB40" s="841">
        <f>BA40/$BA$48</f>
        <v>8.8074300066278796E-2</v>
      </c>
      <c r="BC40" s="834">
        <f>AR40</f>
        <v>15</v>
      </c>
      <c r="BD40" s="1730">
        <v>100</v>
      </c>
      <c r="BE40" s="836">
        <f>Banding!S32</f>
        <v>135.24963412715391</v>
      </c>
      <c r="BF40" s="837">
        <f>AU40</f>
        <v>50</v>
      </c>
      <c r="BG40" s="836">
        <f>Banding!T32</f>
        <v>350063.1742396038</v>
      </c>
      <c r="BH40" s="838">
        <f>(BD40*BG40)+(BE40*BF40*12)</f>
        <v>35087467.204436675</v>
      </c>
      <c r="BI40" s="844">
        <f>BH40/$BH$48</f>
        <v>8.8752559855435814E-2</v>
      </c>
      <c r="BJ40" s="1762">
        <v>60</v>
      </c>
      <c r="BK40" s="840">
        <f>BG40*$D$78</f>
        <v>262547.38067970285</v>
      </c>
      <c r="BL40" s="840">
        <f t="shared" ref="BL40:BL42" si="138">(BK40*BJ40*$E$75)</f>
        <v>5135426.7660949882</v>
      </c>
      <c r="BM40" s="847">
        <f>BL40/$BL$48</f>
        <v>8.9726542961417854E-2</v>
      </c>
      <c r="BN40" s="834">
        <f>BC40</f>
        <v>15</v>
      </c>
      <c r="BO40" s="1730">
        <f>BD40</f>
        <v>100</v>
      </c>
      <c r="BP40" s="836">
        <f>Banding!U32</f>
        <v>137.954626809697</v>
      </c>
      <c r="BQ40" s="837">
        <f>BF40</f>
        <v>50</v>
      </c>
      <c r="BR40" s="837">
        <f>Banding!V32</f>
        <v>355287.99773571728</v>
      </c>
      <c r="BS40" s="838">
        <f>(BO40*BR40)+(BP40*BQ40*12)</f>
        <v>35611572.549657546</v>
      </c>
      <c r="BT40" s="844">
        <f>BS40/$BS$48</f>
        <v>8.8738572435317617E-2</v>
      </c>
      <c r="BU40" s="1762">
        <v>60</v>
      </c>
      <c r="BV40" s="840">
        <f>BR40*$D$78</f>
        <v>266465.99830178794</v>
      </c>
      <c r="BW40" s="840">
        <f t="shared" ref="BW40:BW42" si="139">(BV40*BU40*$E$75)</f>
        <v>5212074.9267829722</v>
      </c>
      <c r="BX40" s="847">
        <f>BW40/$BW$48</f>
        <v>8.9726542961417827E-2</v>
      </c>
      <c r="BY40" s="834">
        <f>BN40</f>
        <v>15</v>
      </c>
      <c r="BZ40" s="1730">
        <f>BO40</f>
        <v>100</v>
      </c>
      <c r="CA40" s="883">
        <f>Banding!W32</f>
        <v>140.71371934589095</v>
      </c>
      <c r="CB40" s="835">
        <f>BQ40</f>
        <v>50</v>
      </c>
      <c r="CC40" s="884">
        <f>Banding!X32</f>
        <v>360512.82123183081</v>
      </c>
      <c r="CD40" s="838">
        <f>(BZ40*CC40)+(CA40*CB40*12)</f>
        <v>36135710.354790613</v>
      </c>
      <c r="CE40" s="844">
        <f>CD40/$CD$48</f>
        <v>8.8723908971310522E-2</v>
      </c>
      <c r="CF40" s="1762">
        <v>60</v>
      </c>
      <c r="CG40" s="840">
        <f>CC40*$D$78</f>
        <v>270384.61592387309</v>
      </c>
      <c r="CH40" s="840">
        <f>(CG40*CF40*$E$75)</f>
        <v>5288723.087470958</v>
      </c>
      <c r="CI40" s="847">
        <f>CH40/$CH$48</f>
        <v>8.9726542961417841E-2</v>
      </c>
      <c r="CJ40" s="882">
        <f>BY40</f>
        <v>15</v>
      </c>
      <c r="CK40" s="1730">
        <f>BZ40</f>
        <v>100</v>
      </c>
      <c r="CL40" s="836">
        <f>Banding!Y32</f>
        <v>114.82239498624702</v>
      </c>
      <c r="CM40" s="863">
        <f>CB40</f>
        <v>50</v>
      </c>
      <c r="CN40" s="836">
        <f>Banding!Z32</f>
        <v>365737.64472794428</v>
      </c>
      <c r="CO40" s="838">
        <f>(CK40*CN40)+(CL40*CM40*12)</f>
        <v>36642657.90978618</v>
      </c>
      <c r="CP40" s="844">
        <f>CO40/$CO$48</f>
        <v>8.8666901335159545E-2</v>
      </c>
      <c r="CQ40" s="1762">
        <v>60</v>
      </c>
      <c r="CR40" s="840">
        <f>CN40*$D$78</f>
        <v>274303.23354595818</v>
      </c>
      <c r="CS40" s="840">
        <f>(CR40*CQ40*$E$75)</f>
        <v>5365371.248158942</v>
      </c>
      <c r="CT40" s="841">
        <f>CS40/$CS$48</f>
        <v>8.9726542961417813E-2</v>
      </c>
    </row>
    <row r="41" spans="1:99" ht="13.7" customHeight="1">
      <c r="A41" s="885" t="s">
        <v>14</v>
      </c>
      <c r="B41" s="834">
        <v>15</v>
      </c>
      <c r="C41" s="835">
        <v>67.5</v>
      </c>
      <c r="D41" s="836">
        <f>Banding!F33</f>
        <v>7.68</v>
      </c>
      <c r="E41" s="837">
        <v>50</v>
      </c>
      <c r="F41" s="836">
        <f>Banding!G33</f>
        <v>82212.75</v>
      </c>
      <c r="G41" s="838">
        <f>(C41*F41)+(D41*E41*12)</f>
        <v>5553968.625</v>
      </c>
      <c r="H41" s="842">
        <f>G41/$G$48</f>
        <v>3.1744086671932098E-2</v>
      </c>
      <c r="I41" s="840">
        <f>F41*$D$78</f>
        <v>61659.5625</v>
      </c>
      <c r="J41" s="840">
        <f>C41*I41*$E$75</f>
        <v>1356818.6728125</v>
      </c>
      <c r="K41" s="841">
        <f>J41/$J$48</f>
        <v>3.4664789988839921E-2</v>
      </c>
      <c r="L41" s="834">
        <f>B41</f>
        <v>15</v>
      </c>
      <c r="M41" s="835">
        <v>55</v>
      </c>
      <c r="N41" s="836">
        <f>Banding!H33</f>
        <v>7.8599999999999994</v>
      </c>
      <c r="O41" s="837">
        <f>E41</f>
        <v>50</v>
      </c>
      <c r="P41" s="836">
        <f>Banding!I33</f>
        <v>88493.25</v>
      </c>
      <c r="Q41" s="838">
        <f>(M41*P41)+(N41*O41*12)</f>
        <v>4871844.75</v>
      </c>
      <c r="R41" s="842">
        <f>Q41/$Q$48</f>
        <v>2.7041162962126473E-2</v>
      </c>
      <c r="S41" s="840">
        <f>P41*$D$78</f>
        <v>66369.9375</v>
      </c>
      <c r="T41" s="840">
        <f>M41*S41*$E$75</f>
        <v>1190012.9793750001</v>
      </c>
      <c r="U41" s="841">
        <f>T41/$T$48</f>
        <v>5.989759384709991E-2</v>
      </c>
      <c r="V41" s="843">
        <f t="shared" si="136"/>
        <v>15</v>
      </c>
      <c r="W41" s="835">
        <f t="shared" si="136"/>
        <v>55</v>
      </c>
      <c r="X41" s="836">
        <f>Banding!J33</f>
        <v>8.0399999999999991</v>
      </c>
      <c r="Y41" s="837">
        <f>O41</f>
        <v>50</v>
      </c>
      <c r="Z41" s="836">
        <f>Banding!K33</f>
        <v>88493.25</v>
      </c>
      <c r="AA41" s="838">
        <f>(W41*Z41)+(X41*Y41*12)</f>
        <v>4871952.75</v>
      </c>
      <c r="AB41" s="844">
        <f>AA41/$AA$48</f>
        <v>2.643242796755095E-2</v>
      </c>
      <c r="AC41" s="840">
        <f>Z41*$D$78</f>
        <v>66369.9375</v>
      </c>
      <c r="AD41" s="840">
        <f>W41*AC41*$E$75</f>
        <v>1190012.9793750001</v>
      </c>
      <c r="AE41" s="841">
        <f>AD41/$AD$48</f>
        <v>2.8018399102111416E-2</v>
      </c>
      <c r="AF41" s="845" t="str">
        <f>Banding!L33</f>
        <v>601-1200m3</v>
      </c>
      <c r="AG41" s="834">
        <f t="shared" si="137"/>
        <v>15</v>
      </c>
      <c r="AH41" s="1627">
        <f t="shared" si="137"/>
        <v>55</v>
      </c>
      <c r="AI41" s="836">
        <f>Banding!O33</f>
        <v>8.2103826945397884</v>
      </c>
      <c r="AJ41" s="837">
        <f t="shared" si="133"/>
        <v>50</v>
      </c>
      <c r="AK41" s="836">
        <f>Banding!P33</f>
        <v>48894</v>
      </c>
      <c r="AL41" s="838">
        <f>(AH41*AK41)+(AI41*AJ41*12)</f>
        <v>2694096.229616724</v>
      </c>
      <c r="AM41" s="844">
        <f>AL41/$AL$48</f>
        <v>1.323885643273634E-2</v>
      </c>
      <c r="AN41" s="840">
        <f>AK41*$D$78</f>
        <v>36670.5</v>
      </c>
      <c r="AO41" s="840">
        <f>AH41*AN41*$E$75</f>
        <v>657502.06500000006</v>
      </c>
      <c r="AP41" s="841">
        <f>AO41/$AO$48</f>
        <v>1.4748167444873578E-2</v>
      </c>
      <c r="AQ41" s="845" t="str">
        <f>Banding!L33</f>
        <v>601-1200m3</v>
      </c>
      <c r="AR41" s="834">
        <v>15</v>
      </c>
      <c r="AS41" s="1648">
        <v>125</v>
      </c>
      <c r="AT41" s="836">
        <f>Banding!Q33</f>
        <v>4.1872951742152917</v>
      </c>
      <c r="AU41" s="837">
        <v>50</v>
      </c>
      <c r="AV41" s="836">
        <f>Banding!R33</f>
        <v>35843.953380129882</v>
      </c>
      <c r="AW41" s="838">
        <f>(AS41*AV41)+(AT41*AU41*12)</f>
        <v>4483006.5496207643</v>
      </c>
      <c r="AX41" s="844">
        <f>AW41/$AW$48</f>
        <v>1.1448583390585148E-2</v>
      </c>
      <c r="AY41" s="1762">
        <v>90</v>
      </c>
      <c r="AZ41" s="840">
        <f>AV41*$D$78</f>
        <v>26882.965035097412</v>
      </c>
      <c r="BA41" s="840">
        <f t="shared" ref="BA41:BA42" si="140">(AY41*AZ41*$E$75)</f>
        <v>788746.19412975805</v>
      </c>
      <c r="BB41" s="841">
        <f>BA41/$BA$48</f>
        <v>1.3527263096528162E-2</v>
      </c>
      <c r="BC41" s="834">
        <f>AR41</f>
        <v>15</v>
      </c>
      <c r="BD41" s="1730">
        <f t="shared" ref="BD41:BD42" si="141">AS41</f>
        <v>125</v>
      </c>
      <c r="BE41" s="836">
        <f>Banding!S33</f>
        <v>4.2710410776995973</v>
      </c>
      <c r="BF41" s="837">
        <f>AU41</f>
        <v>50</v>
      </c>
      <c r="BG41" s="836">
        <f>Banding!T33</f>
        <v>35843.953380129882</v>
      </c>
      <c r="BH41" s="838">
        <f>(BD41*BG41)+(BE41*BF41*12)</f>
        <v>4483056.797162855</v>
      </c>
      <c r="BI41" s="844">
        <f>BH41/$BH$48</f>
        <v>1.1339740324009591E-2</v>
      </c>
      <c r="BJ41" s="1762">
        <v>90</v>
      </c>
      <c r="BK41" s="840">
        <f>BG41*$D$78</f>
        <v>26882.965035097412</v>
      </c>
      <c r="BL41" s="840">
        <f t="shared" si="138"/>
        <v>788746.19412975805</v>
      </c>
      <c r="BM41" s="847">
        <f>BL41/$BL$48</f>
        <v>1.378102979493049E-2</v>
      </c>
      <c r="BN41" s="834">
        <f>BC41</f>
        <v>15</v>
      </c>
      <c r="BO41" s="1730">
        <f t="shared" ref="BO41:BO42" si="142">BD41</f>
        <v>125</v>
      </c>
      <c r="BP41" s="836">
        <f>Banding!U33</f>
        <v>4.3564618992535893</v>
      </c>
      <c r="BQ41" s="837">
        <f>BF41</f>
        <v>50</v>
      </c>
      <c r="BR41" s="837">
        <f>Banding!V33</f>
        <v>36378.937758937791</v>
      </c>
      <c r="BS41" s="838">
        <f>(BO41*BR41)+(BP41*BQ41*12)</f>
        <v>4549981.0970067764</v>
      </c>
      <c r="BT41" s="844">
        <f>BS41/$BS$48</f>
        <v>1.1337854473936856E-2</v>
      </c>
      <c r="BU41" s="1762">
        <v>90</v>
      </c>
      <c r="BV41" s="840">
        <f>BR41*$D$78</f>
        <v>27284.203319203341</v>
      </c>
      <c r="BW41" s="840">
        <f t="shared" si="139"/>
        <v>800518.52538542601</v>
      </c>
      <c r="BX41" s="847">
        <f>BW41/$BW$48</f>
        <v>1.3781029794930488E-2</v>
      </c>
      <c r="BY41" s="834">
        <f>BN41</f>
        <v>15</v>
      </c>
      <c r="BZ41" s="1730">
        <f t="shared" ref="BZ41:BZ42" si="143">BO41</f>
        <v>125</v>
      </c>
      <c r="CA41" s="883">
        <f>Banding!W33</f>
        <v>4.4435911372386618</v>
      </c>
      <c r="CB41" s="835">
        <f>BQ41</f>
        <v>50</v>
      </c>
      <c r="CC41" s="884">
        <f>Banding!X33</f>
        <v>36913.9221377457</v>
      </c>
      <c r="CD41" s="838">
        <f>(BZ41*CC41)+(CA41*CB41*12)</f>
        <v>4616906.4219005555</v>
      </c>
      <c r="CE41" s="844">
        <f>CD41/$CD$48</f>
        <v>1.1335877476432618E-2</v>
      </c>
      <c r="CF41" s="1762">
        <v>90</v>
      </c>
      <c r="CG41" s="840">
        <f>CC41*$D$78</f>
        <v>27685.441603309275</v>
      </c>
      <c r="CH41" s="840">
        <f t="shared" ref="CH41:CH42" si="144">(CG41*CF41*$E$75)</f>
        <v>812290.85664109408</v>
      </c>
      <c r="CI41" s="847">
        <f>CH41/$CH$48</f>
        <v>1.3781029794930488E-2</v>
      </c>
      <c r="CJ41" s="882">
        <f>BY41</f>
        <v>15</v>
      </c>
      <c r="CK41" s="1730">
        <f t="shared" ref="CK41:CK42" si="145">BZ41</f>
        <v>125</v>
      </c>
      <c r="CL41" s="836">
        <f>Banding!Y33</f>
        <v>3.6259703679867479</v>
      </c>
      <c r="CM41" s="863">
        <f>CB41</f>
        <v>50</v>
      </c>
      <c r="CN41" s="836">
        <f>Banding!Z33</f>
        <v>37448.906516553609</v>
      </c>
      <c r="CO41" s="838">
        <f>(CK41*CN41)+(CL41*CM41*12)</f>
        <v>4683288.8967899932</v>
      </c>
      <c r="CP41" s="844">
        <f>CO41/$CO$48</f>
        <v>1.1332494371944146E-2</v>
      </c>
      <c r="CQ41" s="1762">
        <v>90</v>
      </c>
      <c r="CR41" s="840">
        <f>CN41*$D$78</f>
        <v>28086.679887415208</v>
      </c>
      <c r="CS41" s="840">
        <f t="shared" ref="CS41:CS42" si="146">(CR41*CQ41*$E$75)</f>
        <v>824063.18789676228</v>
      </c>
      <c r="CT41" s="841">
        <f>CS41/$CS$48</f>
        <v>1.3781029794930488E-2</v>
      </c>
    </row>
    <row r="42" spans="1:99" ht="15">
      <c r="A42" s="886" t="s">
        <v>15</v>
      </c>
      <c r="B42" s="887">
        <v>15</v>
      </c>
      <c r="C42" s="835">
        <v>121.5</v>
      </c>
      <c r="D42" s="836">
        <f>Banding!F34</f>
        <v>2.56</v>
      </c>
      <c r="E42" s="837">
        <v>50</v>
      </c>
      <c r="F42" s="836">
        <f>Banding!G34</f>
        <v>16442.55</v>
      </c>
      <c r="G42" s="838">
        <f>(C42*F42)+(D42*E42*12)</f>
        <v>1999305.825</v>
      </c>
      <c r="H42" s="842">
        <f>G42/$G$48</f>
        <v>1.1427168872870382E-2</v>
      </c>
      <c r="I42" s="840">
        <f>F42*$D$78</f>
        <v>12331.912499999999</v>
      </c>
      <c r="J42" s="840">
        <f>C42*I42*$E$75</f>
        <v>488454.7222125</v>
      </c>
      <c r="K42" s="841">
        <f>J42/$J$48</f>
        <v>1.2479324395982372E-2</v>
      </c>
      <c r="L42" s="834">
        <f>B42</f>
        <v>15</v>
      </c>
      <c r="M42" s="835">
        <v>60</v>
      </c>
      <c r="N42" s="836">
        <f>Banding!H34</f>
        <v>2.62</v>
      </c>
      <c r="O42" s="837">
        <f>E42</f>
        <v>50</v>
      </c>
      <c r="P42" s="836">
        <f>Banding!I34</f>
        <v>17698.650000000001</v>
      </c>
      <c r="Q42" s="838">
        <f>(M42*P42)+(N42*O42*12)</f>
        <v>1063491</v>
      </c>
      <c r="R42" s="842">
        <f>Q42/$Q$48</f>
        <v>5.9029043238200156E-3</v>
      </c>
      <c r="S42" s="840">
        <f>P42*$D$78</f>
        <v>13273.987500000001</v>
      </c>
      <c r="T42" s="840">
        <f>M42*S42*$E$75</f>
        <v>259639.19550000006</v>
      </c>
      <c r="U42" s="841">
        <f>T42/$T$48</f>
        <v>1.3068565930276346E-2</v>
      </c>
      <c r="V42" s="843">
        <f t="shared" si="136"/>
        <v>15</v>
      </c>
      <c r="W42" s="835">
        <f t="shared" si="136"/>
        <v>60</v>
      </c>
      <c r="X42" s="836">
        <f>Banding!J34</f>
        <v>2.68</v>
      </c>
      <c r="Y42" s="837">
        <f>O42</f>
        <v>50</v>
      </c>
      <c r="Z42" s="836">
        <f>Banding!K34</f>
        <v>17698.650000000001</v>
      </c>
      <c r="AA42" s="838">
        <f>(W42*Z42)+(X42*Y42*12)</f>
        <v>1063527</v>
      </c>
      <c r="AB42" s="844">
        <f>AA42/$AA$48</f>
        <v>5.7700889687498629E-3</v>
      </c>
      <c r="AC42" s="840">
        <f>Z42*$D$78</f>
        <v>13273.987500000001</v>
      </c>
      <c r="AD42" s="840">
        <f>W42*AC42*$E$75</f>
        <v>259639.19550000006</v>
      </c>
      <c r="AE42" s="841">
        <f>AD42/$AD$48</f>
        <v>6.1131052586424917E-3</v>
      </c>
      <c r="AF42" s="845" t="str">
        <f>Banding!L34</f>
        <v>&gt;1200m3</v>
      </c>
      <c r="AG42" s="834">
        <f t="shared" si="137"/>
        <v>15</v>
      </c>
      <c r="AH42" s="1627">
        <f t="shared" si="137"/>
        <v>60</v>
      </c>
      <c r="AI42" s="836">
        <f>Banding!O34</f>
        <v>2.7367942315132625</v>
      </c>
      <c r="AJ42" s="837">
        <f t="shared" si="133"/>
        <v>50</v>
      </c>
      <c r="AK42" s="836">
        <f>Banding!P34</f>
        <v>9778.8000000000011</v>
      </c>
      <c r="AL42" s="838">
        <f>(AH42*AK42)+(AI42*AJ42*12)</f>
        <v>588370.07653890806</v>
      </c>
      <c r="AM42" s="844">
        <f>AL42/$AL$48</f>
        <v>2.8912653107884155E-3</v>
      </c>
      <c r="AN42" s="840">
        <f>AK42*$D$78</f>
        <v>7334.1</v>
      </c>
      <c r="AO42" s="840">
        <f>AH42*AN42*$E$75</f>
        <v>143454.99600000001</v>
      </c>
      <c r="AP42" s="841">
        <f>AO42/$AO$48</f>
        <v>3.2177819879724173E-3</v>
      </c>
      <c r="AQ42" s="845" t="str">
        <f>Banding!L34</f>
        <v>&gt;1200m3</v>
      </c>
      <c r="AR42" s="888">
        <v>15</v>
      </c>
      <c r="AS42" s="1648">
        <v>170</v>
      </c>
      <c r="AT42" s="836">
        <f>Banding!Q34</f>
        <v>2.791530116143528</v>
      </c>
      <c r="AU42" s="837">
        <v>50</v>
      </c>
      <c r="AV42" s="836">
        <f>Banding!R34</f>
        <v>29122.58623133909</v>
      </c>
      <c r="AW42" s="838">
        <f>(AS42*AV42)+(AT42*AU42*12)</f>
        <v>4952514.5773973307</v>
      </c>
      <c r="AX42" s="844">
        <f>AW42/$AW$48</f>
        <v>1.2647600556643917E-2</v>
      </c>
      <c r="AY42" s="1762">
        <v>150</v>
      </c>
      <c r="AZ42" s="840">
        <f>AV42*$D$78</f>
        <v>21841.939673504319</v>
      </c>
      <c r="BA42" s="840">
        <f t="shared" si="140"/>
        <v>1068070.8500343612</v>
      </c>
      <c r="BB42" s="841">
        <f>BA42/$BA$48</f>
        <v>1.8317775098855692E-2</v>
      </c>
      <c r="BC42" s="834">
        <f>AR42</f>
        <v>15</v>
      </c>
      <c r="BD42" s="1730">
        <f t="shared" si="141"/>
        <v>170</v>
      </c>
      <c r="BE42" s="836">
        <f>Banding!S34</f>
        <v>2.8473607184663985</v>
      </c>
      <c r="BF42" s="837">
        <f>AU42</f>
        <v>50</v>
      </c>
      <c r="BG42" s="836">
        <f>Banding!T34</f>
        <v>29122.58623133909</v>
      </c>
      <c r="BH42" s="838">
        <f>(BD42*BG42)+(BE42*BF42*12)</f>
        <v>4952548.0757587245</v>
      </c>
      <c r="BI42" s="844">
        <f>BH42/$BH$48</f>
        <v>1.2527302611204723E-2</v>
      </c>
      <c r="BJ42" s="1762">
        <v>150</v>
      </c>
      <c r="BK42" s="840">
        <f>BG42*$D$78</f>
        <v>21841.939673504319</v>
      </c>
      <c r="BL42" s="840">
        <f t="shared" si="138"/>
        <v>1068070.8500343612</v>
      </c>
      <c r="BM42" s="847">
        <f>BL42/$BL$48</f>
        <v>1.866141011768711E-2</v>
      </c>
      <c r="BN42" s="834">
        <f>BC42</f>
        <v>15</v>
      </c>
      <c r="BO42" s="1730">
        <f t="shared" si="142"/>
        <v>170</v>
      </c>
      <c r="BP42" s="836">
        <f>Banding!U34</f>
        <v>2.9043079328357266</v>
      </c>
      <c r="BQ42" s="837">
        <f>BF42</f>
        <v>50</v>
      </c>
      <c r="BR42" s="837">
        <f>Banding!V34</f>
        <v>29557.251697478481</v>
      </c>
      <c r="BS42" s="838">
        <f>(BO42*BR42)+(BP42*BQ42*12)</f>
        <v>5026475.3733310429</v>
      </c>
      <c r="BT42" s="844">
        <f>BS42/$BS$48</f>
        <v>1.2525205068905788E-2</v>
      </c>
      <c r="BU42" s="1762">
        <v>150</v>
      </c>
      <c r="BV42" s="840">
        <f>BR42*$D$78</f>
        <v>22167.938773108861</v>
      </c>
      <c r="BW42" s="840">
        <f t="shared" si="139"/>
        <v>1084012.2060050233</v>
      </c>
      <c r="BX42" s="847">
        <f>BW42/$BW$48</f>
        <v>1.8661410117687106E-2</v>
      </c>
      <c r="BY42" s="834">
        <f>BN42</f>
        <v>15</v>
      </c>
      <c r="BZ42" s="1730">
        <f t="shared" si="143"/>
        <v>170</v>
      </c>
      <c r="CA42" s="883">
        <f>Banding!W34</f>
        <v>2.9623940914924414</v>
      </c>
      <c r="CB42" s="835">
        <f>BQ42</f>
        <v>50</v>
      </c>
      <c r="CC42" s="884">
        <f>Banding!X34</f>
        <v>29991.917163617869</v>
      </c>
      <c r="CD42" s="838">
        <f>(BZ42*CC42)+(CA42*CB42*12)</f>
        <v>5100403.3542699339</v>
      </c>
      <c r="CE42" s="844">
        <f>CD42/$CD$48</f>
        <v>1.2523006147607657E-2</v>
      </c>
      <c r="CF42" s="1762">
        <v>150</v>
      </c>
      <c r="CG42" s="840">
        <f>CC42*$D$78</f>
        <v>22493.937872713403</v>
      </c>
      <c r="CH42" s="840">
        <f t="shared" si="144"/>
        <v>1099953.5619756854</v>
      </c>
      <c r="CI42" s="847">
        <f>CH42/$CH$48</f>
        <v>1.8661410117687106E-2</v>
      </c>
      <c r="CJ42" s="882">
        <f>BY42</f>
        <v>15</v>
      </c>
      <c r="CK42" s="1730">
        <f t="shared" si="145"/>
        <v>170</v>
      </c>
      <c r="CL42" s="836">
        <f>Banding!Y34</f>
        <v>2.4173135786578319</v>
      </c>
      <c r="CM42" s="863">
        <f>CB42</f>
        <v>50</v>
      </c>
      <c r="CN42" s="836">
        <f>Banding!Z34</f>
        <v>30426.58262975726</v>
      </c>
      <c r="CO42" s="838">
        <f>(CK42*CN42)+(CL42*CM42*12)</f>
        <v>5173969.435205929</v>
      </c>
      <c r="CP42" s="844">
        <f>CO42/$CO$48</f>
        <v>1.2519829717374677E-2</v>
      </c>
      <c r="CQ42" s="1762">
        <v>150</v>
      </c>
      <c r="CR42" s="840">
        <f>CN42*$D$78</f>
        <v>22819.936972317944</v>
      </c>
      <c r="CS42" s="840">
        <f t="shared" si="146"/>
        <v>1115894.9179463475</v>
      </c>
      <c r="CT42" s="841">
        <f>CS42/$CS$48</f>
        <v>1.8661410117687103E-2</v>
      </c>
    </row>
    <row r="43" spans="1:99" ht="15">
      <c r="A43" s="889"/>
      <c r="B43" s="857"/>
      <c r="C43" s="835"/>
      <c r="D43" s="836"/>
      <c r="E43" s="837"/>
      <c r="F43" s="836"/>
      <c r="G43" s="838"/>
      <c r="H43" s="860"/>
      <c r="I43" s="852"/>
      <c r="J43" s="852"/>
      <c r="K43" s="890"/>
      <c r="L43" s="834"/>
      <c r="M43" s="835"/>
      <c r="N43" s="836"/>
      <c r="O43" s="837"/>
      <c r="P43" s="836"/>
      <c r="Q43" s="838"/>
      <c r="R43" s="860"/>
      <c r="S43" s="852"/>
      <c r="T43" s="852"/>
      <c r="U43" s="890"/>
      <c r="V43" s="843"/>
      <c r="W43" s="835"/>
      <c r="X43" s="836"/>
      <c r="Y43" s="837"/>
      <c r="Z43" s="836"/>
      <c r="AA43" s="838"/>
      <c r="AB43" s="844"/>
      <c r="AC43" s="852"/>
      <c r="AD43" s="852"/>
      <c r="AE43" s="890"/>
      <c r="AF43" s="891"/>
      <c r="AG43" s="857"/>
      <c r="AH43" s="1626"/>
      <c r="AI43" s="836"/>
      <c r="AJ43" s="837"/>
      <c r="AK43" s="836"/>
      <c r="AL43" s="838"/>
      <c r="AM43" s="860"/>
      <c r="AN43" s="852"/>
      <c r="AO43" s="852"/>
      <c r="AP43" s="890"/>
      <c r="AQ43" s="845"/>
      <c r="AR43" s="834"/>
      <c r="AS43" s="1648"/>
      <c r="AT43" s="836"/>
      <c r="AU43" s="837"/>
      <c r="AV43" s="836"/>
      <c r="AW43" s="838"/>
      <c r="AX43" s="860"/>
      <c r="AY43" s="1754"/>
      <c r="AZ43" s="852"/>
      <c r="BA43" s="852"/>
      <c r="BB43" s="890"/>
      <c r="BC43" s="834"/>
      <c r="BD43" s="1730"/>
      <c r="BE43" s="836"/>
      <c r="BF43" s="837"/>
      <c r="BG43" s="836"/>
      <c r="BH43" s="838"/>
      <c r="BI43" s="860"/>
      <c r="BJ43" s="1754"/>
      <c r="BK43" s="852"/>
      <c r="BL43" s="852"/>
      <c r="BM43" s="890"/>
      <c r="BN43" s="834"/>
      <c r="BO43" s="1730"/>
      <c r="BP43" s="837"/>
      <c r="BQ43" s="837"/>
      <c r="BR43" s="837"/>
      <c r="BS43" s="837"/>
      <c r="BT43" s="844"/>
      <c r="BU43" s="1754"/>
      <c r="BV43" s="840"/>
      <c r="BW43" s="840"/>
      <c r="BX43" s="847"/>
      <c r="BY43" s="834"/>
      <c r="BZ43" s="1730"/>
      <c r="CA43" s="836"/>
      <c r="CB43" s="837"/>
      <c r="CC43" s="836"/>
      <c r="CD43" s="838"/>
      <c r="CE43" s="844"/>
      <c r="CF43" s="1754"/>
      <c r="CG43" s="852"/>
      <c r="CH43" s="840"/>
      <c r="CI43" s="858"/>
      <c r="CJ43" s="882"/>
      <c r="CK43" s="1730"/>
      <c r="CL43" s="836"/>
      <c r="CM43" s="863"/>
      <c r="CN43" s="836"/>
      <c r="CO43" s="836"/>
      <c r="CP43" s="844"/>
      <c r="CQ43" s="1754"/>
      <c r="CR43" s="840"/>
      <c r="CS43" s="852"/>
      <c r="CT43" s="841"/>
    </row>
    <row r="44" spans="1:99" ht="22.5" customHeight="1">
      <c r="A44" s="892" t="s">
        <v>16</v>
      </c>
      <c r="B44" s="834"/>
      <c r="C44" s="835"/>
      <c r="D44" s="836"/>
      <c r="E44" s="837"/>
      <c r="F44" s="836"/>
      <c r="G44" s="838"/>
      <c r="H44" s="893"/>
      <c r="I44" s="840"/>
      <c r="J44" s="840"/>
      <c r="K44" s="841"/>
      <c r="L44" s="834"/>
      <c r="M44" s="835"/>
      <c r="N44" s="836"/>
      <c r="O44" s="837"/>
      <c r="P44" s="836"/>
      <c r="Q44" s="838"/>
      <c r="R44" s="862"/>
      <c r="S44" s="840"/>
      <c r="T44" s="840"/>
      <c r="U44" s="841"/>
      <c r="V44" s="843"/>
      <c r="W44" s="835"/>
      <c r="X44" s="836"/>
      <c r="Y44" s="837"/>
      <c r="Z44" s="836"/>
      <c r="AA44" s="838"/>
      <c r="AB44" s="844"/>
      <c r="AC44" s="840"/>
      <c r="AD44" s="840"/>
      <c r="AE44" s="841"/>
      <c r="AF44" s="892" t="s">
        <v>16</v>
      </c>
      <c r="AG44" s="888"/>
      <c r="AH44" s="1626"/>
      <c r="AI44" s="836"/>
      <c r="AJ44" s="837"/>
      <c r="AK44" s="836"/>
      <c r="AL44" s="838"/>
      <c r="AM44" s="862"/>
      <c r="AN44" s="840"/>
      <c r="AO44" s="840"/>
      <c r="AP44" s="841"/>
      <c r="AQ44" s="892" t="s">
        <v>16</v>
      </c>
      <c r="AR44" s="834"/>
      <c r="AS44" s="1648"/>
      <c r="AT44" s="836"/>
      <c r="AU44" s="837"/>
      <c r="AV44" s="836"/>
      <c r="AW44" s="838"/>
      <c r="AX44" s="862"/>
      <c r="AY44" s="1753"/>
      <c r="AZ44" s="840"/>
      <c r="BA44" s="840"/>
      <c r="BB44" s="841"/>
      <c r="BC44" s="834"/>
      <c r="BD44" s="1730"/>
      <c r="BE44" s="836"/>
      <c r="BF44" s="837"/>
      <c r="BG44" s="836"/>
      <c r="BH44" s="838"/>
      <c r="BI44" s="862"/>
      <c r="BJ44" s="1753"/>
      <c r="BK44" s="840"/>
      <c r="BL44" s="840"/>
      <c r="BM44" s="841"/>
      <c r="BN44" s="834"/>
      <c r="BO44" s="1730"/>
      <c r="BP44" s="837"/>
      <c r="BQ44" s="837"/>
      <c r="BR44" s="837"/>
      <c r="BS44" s="837"/>
      <c r="BT44" s="844"/>
      <c r="BU44" s="1753"/>
      <c r="BV44" s="840"/>
      <c r="BW44" s="840"/>
      <c r="BX44" s="841"/>
      <c r="BY44" s="834"/>
      <c r="BZ44" s="1730"/>
      <c r="CA44" s="836"/>
      <c r="CB44" s="837"/>
      <c r="CC44" s="836"/>
      <c r="CD44" s="838"/>
      <c r="CE44" s="862"/>
      <c r="CF44" s="1753"/>
      <c r="CG44" s="840"/>
      <c r="CH44" s="840"/>
      <c r="CI44" s="841"/>
      <c r="CJ44" s="882"/>
      <c r="CK44" s="1730"/>
      <c r="CL44" s="836"/>
      <c r="CM44" s="836"/>
      <c r="CN44" s="836"/>
      <c r="CO44" s="836"/>
      <c r="CP44" s="862"/>
      <c r="CQ44" s="1753"/>
      <c r="CR44" s="840"/>
      <c r="CS44" s="840"/>
      <c r="CT44" s="841"/>
    </row>
    <row r="45" spans="1:99" ht="15" customHeight="1">
      <c r="A45" s="826" t="s">
        <v>11</v>
      </c>
      <c r="B45" s="834">
        <v>15</v>
      </c>
      <c r="C45" s="835">
        <v>35</v>
      </c>
      <c r="D45" s="836">
        <f>Banding!F38</f>
        <v>145</v>
      </c>
      <c r="E45" s="837">
        <v>50</v>
      </c>
      <c r="F45" s="836">
        <f>Banding!G38</f>
        <v>34564</v>
      </c>
      <c r="G45" s="838">
        <f>(C45*F45)+(D45*E45*12)</f>
        <v>1296740</v>
      </c>
      <c r="H45" s="842">
        <f>G45/$G$48</f>
        <v>7.4116059578858773E-3</v>
      </c>
      <c r="I45" s="840"/>
      <c r="J45" s="840"/>
      <c r="K45" s="841"/>
      <c r="L45" s="834">
        <f>B45</f>
        <v>15</v>
      </c>
      <c r="M45" s="835">
        <v>35</v>
      </c>
      <c r="N45" s="894">
        <f>Banding!H38</f>
        <v>149</v>
      </c>
      <c r="O45" s="837">
        <f>E45</f>
        <v>50</v>
      </c>
      <c r="P45" s="894">
        <f>Banding!I38</f>
        <v>37204</v>
      </c>
      <c r="Q45" s="838">
        <f>(M45*P45)+(N45*O45*12)</f>
        <v>1391540</v>
      </c>
      <c r="R45" s="842">
        <f>Q45/$Q$48</f>
        <v>7.7237395358949953E-3</v>
      </c>
      <c r="S45" s="840"/>
      <c r="T45" s="840"/>
      <c r="U45" s="841"/>
      <c r="V45" s="843">
        <f>L45</f>
        <v>15</v>
      </c>
      <c r="W45" s="835">
        <f>M45</f>
        <v>35</v>
      </c>
      <c r="X45" s="894">
        <f>Banding!J38</f>
        <v>152</v>
      </c>
      <c r="Y45" s="837">
        <f>O45</f>
        <v>50</v>
      </c>
      <c r="Z45" s="836">
        <f>Banding!K38</f>
        <v>37204</v>
      </c>
      <c r="AA45" s="838">
        <f>(W45*Z45)+(X45*Y45*12)</f>
        <v>1393340</v>
      </c>
      <c r="AB45" s="844">
        <f>AA45/$AA$48</f>
        <v>7.5594655929919355E-3</v>
      </c>
      <c r="AC45" s="840"/>
      <c r="AD45" s="840"/>
      <c r="AE45" s="841"/>
      <c r="AF45" s="826" t="s">
        <v>11</v>
      </c>
      <c r="AG45" s="888">
        <f>V45</f>
        <v>15</v>
      </c>
      <c r="AH45" s="1626">
        <f>W45</f>
        <v>35</v>
      </c>
      <c r="AI45" s="894">
        <f>Banding!O38</f>
        <v>155.2923054392391</v>
      </c>
      <c r="AJ45" s="837">
        <f>Y45</f>
        <v>50</v>
      </c>
      <c r="AK45" s="836">
        <f>Banding!P38</f>
        <v>47682</v>
      </c>
      <c r="AL45" s="838">
        <f>(AH45*AK45)+(AI45*AJ45*12)</f>
        <v>1762045.3832635435</v>
      </c>
      <c r="AM45" s="844">
        <f>AL45/$AL$48</f>
        <v>8.6587352005279405E-3</v>
      </c>
      <c r="AN45" s="840"/>
      <c r="AO45" s="840"/>
      <c r="AP45" s="841"/>
      <c r="AQ45" s="826" t="s">
        <v>11</v>
      </c>
      <c r="AR45" s="834">
        <f>AG45</f>
        <v>15</v>
      </c>
      <c r="AS45" s="1648">
        <f>ROUNDUP(AH45*(1+D106),0)</f>
        <v>35</v>
      </c>
      <c r="AT45" s="894">
        <f>Banding!Q38</f>
        <v>158.39815154802386</v>
      </c>
      <c r="AU45" s="837">
        <v>50</v>
      </c>
      <c r="AV45" s="836">
        <f>Banding!R38</f>
        <v>52404.980102207861</v>
      </c>
      <c r="AW45" s="838">
        <f>(AS45*AV45)+(AT45*AU45*12)</f>
        <v>1929213.1945060892</v>
      </c>
      <c r="AX45" s="844">
        <f>AW45/$AW$48</f>
        <v>4.9267735594516445E-3</v>
      </c>
      <c r="AY45" s="1752"/>
      <c r="AZ45" s="840"/>
      <c r="BA45" s="840"/>
      <c r="BB45" s="841"/>
      <c r="BC45" s="834">
        <f>AR45</f>
        <v>15</v>
      </c>
      <c r="BD45" s="1730">
        <f>AS45</f>
        <v>35</v>
      </c>
      <c r="BE45" s="894">
        <f>Banding!S38</f>
        <v>161.56611457898435</v>
      </c>
      <c r="BF45" s="837">
        <f>AU45</f>
        <v>50</v>
      </c>
      <c r="BG45" s="836">
        <f>Banding!T38</f>
        <v>52404.980102207861</v>
      </c>
      <c r="BH45" s="838">
        <f>(BD45*BG45)+(BE45*BF45*12)</f>
        <v>1931113.9723246656</v>
      </c>
      <c r="BI45" s="844">
        <f>BH45/$BH$48</f>
        <v>4.8846873847520561E-3</v>
      </c>
      <c r="BJ45" s="1752"/>
      <c r="BK45" s="840"/>
      <c r="BL45" s="840"/>
      <c r="BM45" s="841"/>
      <c r="BN45" s="834">
        <f>BC45</f>
        <v>15</v>
      </c>
      <c r="BO45" s="1730">
        <f>BD45</f>
        <v>35</v>
      </c>
      <c r="BP45" s="836">
        <f>Banding!U38</f>
        <v>164.79743687056404</v>
      </c>
      <c r="BQ45" s="837">
        <f>BF45</f>
        <v>50</v>
      </c>
      <c r="BR45" s="837">
        <f>Banding!V38</f>
        <v>53187.143984330367</v>
      </c>
      <c r="BS45" s="838">
        <f>(BO45*BR45)+(BP45*BQ45*12)</f>
        <v>1960428.5015739012</v>
      </c>
      <c r="BT45" s="844">
        <f>BS45/$BS$48</f>
        <v>4.8850869011357306E-3</v>
      </c>
      <c r="BU45" s="1752"/>
      <c r="BV45" s="840"/>
      <c r="BW45" s="840"/>
      <c r="BX45" s="841"/>
      <c r="BY45" s="834">
        <f>BN45</f>
        <v>15</v>
      </c>
      <c r="BZ45" s="1730">
        <f>BO45</f>
        <v>35</v>
      </c>
      <c r="CA45" s="894">
        <f>Banding!W38</f>
        <v>168.09338560797534</v>
      </c>
      <c r="CB45" s="837">
        <f>BQ45</f>
        <v>50</v>
      </c>
      <c r="CC45" s="836">
        <f>Banding!X38</f>
        <v>53969.307866452873</v>
      </c>
      <c r="CD45" s="838">
        <f>(BZ45*CC45)+(CA45*CB45*12)</f>
        <v>1989781.8066906359</v>
      </c>
      <c r="CE45" s="844">
        <f>CD45/$CD$48</f>
        <v>4.8855057270566484E-3</v>
      </c>
      <c r="CF45" s="1752"/>
      <c r="CG45" s="840"/>
      <c r="CH45" s="840"/>
      <c r="CI45" s="841"/>
      <c r="CJ45" s="882">
        <f>BY45</f>
        <v>15</v>
      </c>
      <c r="CK45" s="1730">
        <f>BZ45</f>
        <v>35</v>
      </c>
      <c r="CL45" s="836">
        <f>Banding!Y38</f>
        <v>171.45525332013483</v>
      </c>
      <c r="CM45" s="863">
        <f>CB45</f>
        <v>50</v>
      </c>
      <c r="CN45" s="836">
        <f>Banding!Z38</f>
        <v>54751.471748575379</v>
      </c>
      <c r="CO45" s="838">
        <f>(CK45*CN45)+(CL45*CM45*12)</f>
        <v>2019174.6631922193</v>
      </c>
      <c r="CP45" s="844">
        <f>CO45/$CO$48</f>
        <v>4.8859436201516317E-3</v>
      </c>
      <c r="CQ45" s="1752"/>
      <c r="CR45" s="840"/>
      <c r="CS45" s="840"/>
      <c r="CT45" s="841"/>
    </row>
    <row r="46" spans="1:99" ht="15" customHeight="1">
      <c r="A46" s="833"/>
      <c r="B46" s="834"/>
      <c r="C46" s="835"/>
      <c r="D46" s="894"/>
      <c r="E46" s="837"/>
      <c r="F46" s="836"/>
      <c r="G46" s="838"/>
      <c r="H46" s="893"/>
      <c r="I46" s="840"/>
      <c r="J46" s="840"/>
      <c r="K46" s="841"/>
      <c r="L46" s="834"/>
      <c r="M46" s="835"/>
      <c r="N46" s="894"/>
      <c r="O46" s="837"/>
      <c r="P46" s="836"/>
      <c r="Q46" s="838"/>
      <c r="R46" s="862"/>
      <c r="S46" s="840"/>
      <c r="T46" s="840"/>
      <c r="U46" s="841"/>
      <c r="V46" s="843"/>
      <c r="W46" s="835"/>
      <c r="X46" s="894"/>
      <c r="Y46" s="837"/>
      <c r="Z46" s="836"/>
      <c r="AA46" s="838"/>
      <c r="AB46" s="844"/>
      <c r="AC46" s="840"/>
      <c r="AD46" s="840"/>
      <c r="AE46" s="841"/>
      <c r="AF46" s="895"/>
      <c r="AG46" s="888"/>
      <c r="AH46" s="1626"/>
      <c r="AI46" s="894"/>
      <c r="AJ46" s="837"/>
      <c r="AK46" s="836"/>
      <c r="AL46" s="838"/>
      <c r="AM46" s="862"/>
      <c r="AN46" s="840"/>
      <c r="AO46" s="840"/>
      <c r="AP46" s="841"/>
      <c r="AQ46" s="845"/>
      <c r="AR46" s="834"/>
      <c r="AS46" s="1648"/>
      <c r="AT46" s="894"/>
      <c r="AU46" s="837"/>
      <c r="AV46" s="836"/>
      <c r="AW46" s="838"/>
      <c r="AX46" s="862"/>
      <c r="AY46" s="1753"/>
      <c r="AZ46" s="840"/>
      <c r="BA46" s="840"/>
      <c r="BB46" s="841"/>
      <c r="BC46" s="834"/>
      <c r="BD46" s="1730"/>
      <c r="BE46" s="894"/>
      <c r="BF46" s="837"/>
      <c r="BG46" s="836"/>
      <c r="BH46" s="838"/>
      <c r="BI46" s="862"/>
      <c r="BJ46" s="1753"/>
      <c r="BK46" s="840"/>
      <c r="BL46" s="840"/>
      <c r="BM46" s="841"/>
      <c r="BN46" s="834"/>
      <c r="BO46" s="1730"/>
      <c r="BP46" s="837"/>
      <c r="BQ46" s="837"/>
      <c r="BR46" s="837"/>
      <c r="BS46" s="837"/>
      <c r="BT46" s="844"/>
      <c r="BU46" s="1753"/>
      <c r="BV46" s="840"/>
      <c r="BW46" s="840"/>
      <c r="BX46" s="841"/>
      <c r="BY46" s="834"/>
      <c r="BZ46" s="1730"/>
      <c r="CA46" s="894"/>
      <c r="CB46" s="837"/>
      <c r="CC46" s="836"/>
      <c r="CD46" s="838"/>
      <c r="CE46" s="862"/>
      <c r="CF46" s="1753"/>
      <c r="CG46" s="840"/>
      <c r="CH46" s="840"/>
      <c r="CI46" s="841"/>
      <c r="CJ46" s="882"/>
      <c r="CK46" s="1730"/>
      <c r="CL46" s="836"/>
      <c r="CM46" s="836"/>
      <c r="CN46" s="836"/>
      <c r="CO46" s="836"/>
      <c r="CP46" s="862"/>
      <c r="CQ46" s="1753"/>
      <c r="CR46" s="840"/>
      <c r="CS46" s="840"/>
      <c r="CT46" s="841"/>
    </row>
    <row r="47" spans="1:99" ht="15.75" thickBot="1">
      <c r="A47" s="833"/>
      <c r="B47" s="834"/>
      <c r="C47" s="835"/>
      <c r="D47" s="896"/>
      <c r="E47" s="837"/>
      <c r="F47" s="838"/>
      <c r="G47" s="838"/>
      <c r="H47" s="862"/>
      <c r="I47" s="840"/>
      <c r="J47" s="840"/>
      <c r="K47" s="858"/>
      <c r="L47" s="834"/>
      <c r="M47" s="835"/>
      <c r="N47" s="896"/>
      <c r="O47" s="837"/>
      <c r="P47" s="838"/>
      <c r="Q47" s="838"/>
      <c r="R47" s="862"/>
      <c r="S47" s="840"/>
      <c r="T47" s="840"/>
      <c r="U47" s="858"/>
      <c r="V47" s="843"/>
      <c r="W47" s="835"/>
      <c r="X47" s="896"/>
      <c r="Y47" s="837"/>
      <c r="Z47" s="838"/>
      <c r="AA47" s="838"/>
      <c r="AB47" s="862"/>
      <c r="AC47" s="840"/>
      <c r="AD47" s="840"/>
      <c r="AE47" s="858"/>
      <c r="AF47" s="897"/>
      <c r="AG47" s="834"/>
      <c r="AH47" s="1626"/>
      <c r="AI47" s="896"/>
      <c r="AJ47" s="837"/>
      <c r="AK47" s="838"/>
      <c r="AL47" s="838"/>
      <c r="AM47" s="862"/>
      <c r="AN47" s="840"/>
      <c r="AO47" s="840"/>
      <c r="AP47" s="858"/>
      <c r="AQ47" s="845"/>
      <c r="AR47" s="834"/>
      <c r="AS47" s="1648"/>
      <c r="AT47" s="896"/>
      <c r="AU47" s="837"/>
      <c r="AV47" s="838"/>
      <c r="AW47" s="838"/>
      <c r="AX47" s="862"/>
      <c r="AY47" s="1755"/>
      <c r="BA47" s="840"/>
      <c r="BB47" s="858"/>
      <c r="BC47" s="834"/>
      <c r="BD47" s="1730"/>
      <c r="BE47" s="896"/>
      <c r="BF47" s="837"/>
      <c r="BG47" s="838"/>
      <c r="BH47" s="838"/>
      <c r="BI47" s="862"/>
      <c r="BJ47" s="1755"/>
      <c r="BL47" s="840"/>
      <c r="BM47" s="858"/>
      <c r="BN47" s="834"/>
      <c r="BO47" s="1730"/>
      <c r="BP47" s="896"/>
      <c r="BQ47" s="837"/>
      <c r="BR47" s="838"/>
      <c r="BS47" s="838"/>
      <c r="BT47" s="862"/>
      <c r="BU47" s="1755"/>
      <c r="BW47" s="840"/>
      <c r="BX47" s="858"/>
      <c r="BY47" s="834"/>
      <c r="BZ47" s="1730"/>
      <c r="CA47" s="896"/>
      <c r="CB47" s="837"/>
      <c r="CC47" s="838"/>
      <c r="CD47" s="838"/>
      <c r="CE47" s="862"/>
      <c r="CF47" s="1755"/>
      <c r="CG47" s="840"/>
      <c r="CH47" s="840"/>
      <c r="CI47" s="858"/>
      <c r="CJ47" s="834"/>
      <c r="CK47" s="1730"/>
      <c r="CL47" s="896"/>
      <c r="CM47" s="837"/>
      <c r="CN47" s="838"/>
      <c r="CO47" s="838"/>
      <c r="CP47" s="862"/>
      <c r="CQ47" s="1755"/>
      <c r="CR47" s="840"/>
      <c r="CS47" s="840"/>
      <c r="CT47" s="858"/>
    </row>
    <row r="48" spans="1:99" s="918" customFormat="1" ht="21.75" customHeight="1" thickBot="1">
      <c r="A48" s="898" t="s">
        <v>1114</v>
      </c>
      <c r="B48" s="899"/>
      <c r="C48" s="899"/>
      <c r="D48" s="899"/>
      <c r="E48" s="900"/>
      <c r="F48" s="901">
        <f>SUM(F14:F19,F23:F28,F31:F36,F40:F42,F45)</f>
        <v>2648862.9999999995</v>
      </c>
      <c r="G48" s="902">
        <f>SUM(G14:G19,G23:G28,G31:G36,G40:G42,G45)</f>
        <v>174960731.50249997</v>
      </c>
      <c r="H48" s="903">
        <f>SUM(H14:H19,H23:H28,H31:H36,H40:H42,H45)</f>
        <v>1</v>
      </c>
      <c r="I48" s="904">
        <f>SUM(I14:I19,I23:I28,I31:I36,I40:I42,I45)</f>
        <v>1990371.9999999998</v>
      </c>
      <c r="J48" s="905">
        <f>SUM(J14:J19,J23:J25,J31:J36,J40:J42,J45)</f>
        <v>39141119.079311252</v>
      </c>
      <c r="K48" s="906">
        <f>SUM(K14:K19,K23:K25,K31:K36,K40:K42,K45)</f>
        <v>1</v>
      </c>
      <c r="L48" s="899"/>
      <c r="M48" s="899"/>
      <c r="N48" s="899"/>
      <c r="O48" s="900"/>
      <c r="P48" s="901">
        <f t="shared" ref="P48:U48" si="147">SUM(P14:P19,P23:P25,P31:P36,P40:P42,P45)</f>
        <v>2818031.74</v>
      </c>
      <c r="Q48" s="902">
        <f t="shared" si="147"/>
        <v>180164024.63249999</v>
      </c>
      <c r="R48" s="907">
        <f t="shared" si="147"/>
        <v>1</v>
      </c>
      <c r="S48" s="908">
        <f t="shared" si="147"/>
        <v>2109236.2400000002</v>
      </c>
      <c r="T48" s="909">
        <f t="shared" si="147"/>
        <v>19867458.823350005</v>
      </c>
      <c r="U48" s="910">
        <f t="shared" si="147"/>
        <v>1</v>
      </c>
      <c r="V48" s="899"/>
      <c r="W48" s="899"/>
      <c r="X48" s="899"/>
      <c r="Y48" s="900"/>
      <c r="Z48" s="902">
        <f t="shared" ref="Z48:AE48" si="148">SUM(Z14:Z19,Z23:Z28,Z31:Z36,Z40:Z42,Z45)</f>
        <v>2851221</v>
      </c>
      <c r="AA48" s="901">
        <f t="shared" si="148"/>
        <v>184317261.96250001</v>
      </c>
      <c r="AB48" s="911">
        <f t="shared" si="148"/>
        <v>0.99999999999999978</v>
      </c>
      <c r="AC48" s="905">
        <f>SUM(AC14:AC19,AC23:AC28,AC31:AC36,AC40:AC42,AC45)</f>
        <v>2142425.5</v>
      </c>
      <c r="AD48" s="909">
        <f t="shared" si="148"/>
        <v>42472554.375361256</v>
      </c>
      <c r="AE48" s="910">
        <f t="shared" si="148"/>
        <v>0.99999999999999989</v>
      </c>
      <c r="AF48" s="912"/>
      <c r="AG48" s="899"/>
      <c r="AH48" s="1628"/>
      <c r="AI48" s="899"/>
      <c r="AJ48" s="900"/>
      <c r="AK48" s="901">
        <f t="shared" ref="AK48:AP48" si="149">SUM(AK14:AK19,AK23:AK28,AK31:AK36,AK40:AK42,AK45)</f>
        <v>2916310.0000000005</v>
      </c>
      <c r="AL48" s="901">
        <f>SUM(AL14:AL19,AL23:AL28,AL31:AL36,AL40:AL42,AL45)</f>
        <v>203499165</v>
      </c>
      <c r="AM48" s="913">
        <f t="shared" si="149"/>
        <v>1</v>
      </c>
      <c r="AN48" s="905">
        <f>SUM(AN14:AN19,AN23:AN28,AN31:AN36,AN40:AN42,AN45)</f>
        <v>2194492.9999999995</v>
      </c>
      <c r="AO48" s="909">
        <f>SUM(AO14:AO19,AO23:AO28,AO31:AO36,AO40:AO42,AO45)+AO47</f>
        <v>44581950.09364</v>
      </c>
      <c r="AP48" s="910">
        <f t="shared" si="149"/>
        <v>1</v>
      </c>
      <c r="AQ48" s="914"/>
      <c r="AR48" s="899"/>
      <c r="AS48" s="1649"/>
      <c r="AT48" s="899"/>
      <c r="AU48" s="900"/>
      <c r="AV48" s="901">
        <f>SUM(AV14:AV19,AV23:AV26,AV31:AV36,AV40:AV42,AV45)</f>
        <v>3777233.5399999991</v>
      </c>
      <c r="AW48" s="901">
        <f>SUM(AW14:AW19,AW23:AW26,AW31:AW36,AW40:AW42,AW45)</f>
        <v>391577402.78219992</v>
      </c>
      <c r="AX48" s="913">
        <f>SUM(AX14:AX19,AX23:AX25,AX31:AX36,AX40:AX42,AX45)</f>
        <v>0.99714530083354658</v>
      </c>
      <c r="AY48" s="1756"/>
      <c r="AZ48" s="915">
        <f>SUM(AZ14:AZ19,AZ23:AZ26,AZ31:AZ36,AZ40:AZ42,AZ45)</f>
        <v>2839259.993732661</v>
      </c>
      <c r="BA48" s="909">
        <f>SUM(BA14:BA19,BA23:BA26,BA31:BA36,BA40:BA42,BA45)+BA47</f>
        <v>58307891.884811021</v>
      </c>
      <c r="BB48" s="916">
        <f>SUM(BB14:BB19,BB23:BB25,BB31:BB36,BB40:BB42,BB45)</f>
        <v>0.99554127333752485</v>
      </c>
      <c r="BC48" s="899"/>
      <c r="BD48" s="1731"/>
      <c r="BE48" s="899"/>
      <c r="BF48" s="900"/>
      <c r="BG48" s="901">
        <f>SUM(BG14:BG19,BG23:BG26,BG31:BG36,BG40:BG42,BG45)</f>
        <v>3777233.5399999991</v>
      </c>
      <c r="BH48" s="901">
        <f>SUM(BH14:BH19,BH23:BH26,BH31:BH36,BH40:BH42,BH45)</f>
        <v>395340340.17259592</v>
      </c>
      <c r="BI48" s="911">
        <f>SUM(BI14:BI19,BI23:BI25,BI31:BI36,BI40:BI42,BI45)</f>
        <v>0.99717240361055126</v>
      </c>
      <c r="BJ48" s="1756"/>
      <c r="BK48" s="915">
        <f>SUM(BK14:BK19,BK23:BK26,BK31:BK36,BK40:BK42,BK45)</f>
        <v>2839259.993732661</v>
      </c>
      <c r="BL48" s="909">
        <f>SUM(BL14:BL19,BL23:BL26,BL31:BL36,BL40:BL42,BL45)+BL47</f>
        <v>57234198.450097494</v>
      </c>
      <c r="BM48" s="916">
        <f>SUM(BM14:BM19,BM23:BM25,BM31:BM36,BM40:BM42,BM45)</f>
        <v>0.99545762919338854</v>
      </c>
      <c r="BN48" s="899"/>
      <c r="BO48" s="1731"/>
      <c r="BP48" s="899"/>
      <c r="BQ48" s="900"/>
      <c r="BR48" s="901">
        <f>SUM(BR14:BR19,BR23:BR26,BR31:BR36,BR40:BR42,BR45)</f>
        <v>3833610.1599999992</v>
      </c>
      <c r="BS48" s="901">
        <f>SUM(BS14:BS19,BS23:BS26,BS31:BS36,BS40:BS42,BS45)</f>
        <v>401308828.53243053</v>
      </c>
      <c r="BT48" s="913">
        <f>SUM(BT14:BT19,BT23:BT25,BT31:BT36,BT40:BT42,BT45)</f>
        <v>0.99717286437007124</v>
      </c>
      <c r="BU48" s="1756"/>
      <c r="BV48" s="915">
        <f>SUM(BV14:BV19,BV23:BV26,BV31:BV36,BV40:BV42,BV45)</f>
        <v>2881637.0085644918</v>
      </c>
      <c r="BW48" s="909">
        <f>SUM(BW14:BW19,BW23:BW26,BW31:BW36,BW40:BW42,BW45)+BW47</f>
        <v>58088440.218009405</v>
      </c>
      <c r="BX48" s="916">
        <f>SUM(BX14:BX19,BX23:BX25,BX31:BX36,BX40:BX42,BX45)</f>
        <v>0.99545762919338809</v>
      </c>
      <c r="BY48" s="899"/>
      <c r="BZ48" s="1731"/>
      <c r="CA48" s="899"/>
      <c r="CB48" s="900"/>
      <c r="CC48" s="901">
        <f>SUM(CC14:CC19,CC23:CC26,CC31:CC36,CC40:CC42,CC45)</f>
        <v>3889986.78</v>
      </c>
      <c r="CD48" s="901">
        <f>SUM(CD14:CD19,CD23:CD26,CD31:CD36,CD40:CD42,CD45)</f>
        <v>407282667.92748433</v>
      </c>
      <c r="CE48" s="913">
        <f>SUM(CE14:CE19,CE23:CE25,CE31:CE36,CE40:CE42,CE45)</f>
        <v>0.99717334739914953</v>
      </c>
      <c r="CF48" s="1756"/>
      <c r="CG48" s="915">
        <f>SUM(CG14:CG19,CG23:CG26,CG31:CG36,CG40:CG42,CG45)</f>
        <v>2924014.0233963239</v>
      </c>
      <c r="CH48" s="909">
        <f>SUM(CH14:CH19,CH23:CH26,CH31:CH36,CH40:CH42,CH45)+CH47</f>
        <v>58942681.985921308</v>
      </c>
      <c r="CI48" s="916">
        <f>SUM(CI14:CI19,CI23:CI26,CI31:CI36,CI40:CI42,CI45)</f>
        <v>0.99999999999999989</v>
      </c>
      <c r="CJ48" s="899"/>
      <c r="CK48" s="1731"/>
      <c r="CL48" s="899"/>
      <c r="CM48" s="900"/>
      <c r="CN48" s="901">
        <f>SUM(CN14:CN19,CN23:CN26,CN31:CN36,CN40:CN42,CN45)</f>
        <v>3946363.4000000004</v>
      </c>
      <c r="CO48" s="901">
        <f>SUM(CO14:CO19,CO23:CO26,CO31:CO36,CO40:CO42,CO45)</f>
        <v>413261965.37846166</v>
      </c>
      <c r="CP48" s="913">
        <f>SUM(CP14:CP19,CP23:CP25,CP31:CP36,CP40:CP42,CP45)</f>
        <v>0.99717385241826906</v>
      </c>
      <c r="CQ48" s="1756"/>
      <c r="CR48" s="915">
        <f>SUM(CR14:CR19,CR23:CR26,CR31:CR36,CR40:CR42,CR45)</f>
        <v>2966391.0382281542</v>
      </c>
      <c r="CS48" s="909">
        <f>SUM(CS14:CS19,CS23:CS26,CS31:CS36,CS40:CS42,CS45)+CS47</f>
        <v>59796923.753833219</v>
      </c>
      <c r="CT48" s="916">
        <f>SUM(CT14:CT19,CT23:CT26,CT31:CT36,CT40:CT42,CT45)</f>
        <v>0.99999999999999978</v>
      </c>
      <c r="CU48" s="917"/>
    </row>
    <row r="49" spans="1:99" s="918" customFormat="1" ht="21.75" customHeight="1" thickBot="1">
      <c r="A49" s="898" t="s">
        <v>591</v>
      </c>
      <c r="B49" s="1929">
        <f>G48+J48</f>
        <v>214101850.58181122</v>
      </c>
      <c r="C49" s="1929"/>
      <c r="D49" s="919"/>
      <c r="E49" s="919"/>
      <c r="F49" s="919"/>
      <c r="G49" s="919"/>
      <c r="H49" s="919"/>
      <c r="I49" s="920"/>
      <c r="J49" s="921"/>
      <c r="K49" s="922"/>
      <c r="L49" s="1928">
        <f>Q48+T48</f>
        <v>200031483.45585001</v>
      </c>
      <c r="M49" s="1929"/>
      <c r="N49" s="919"/>
      <c r="O49" s="919"/>
      <c r="P49" s="919"/>
      <c r="Q49" s="919"/>
      <c r="R49" s="919"/>
      <c r="S49" s="920"/>
      <c r="T49" s="921"/>
      <c r="U49" s="922"/>
      <c r="V49" s="1928">
        <f>AA48+AD48</f>
        <v>226789816.33786127</v>
      </c>
      <c r="W49" s="1929"/>
      <c r="X49" s="919"/>
      <c r="Y49" s="919"/>
      <c r="Z49" s="919"/>
      <c r="AA49" s="919"/>
      <c r="AB49" s="919"/>
      <c r="AC49" s="920"/>
      <c r="AD49" s="921"/>
      <c r="AE49" s="922"/>
      <c r="AF49" s="923"/>
      <c r="AH49" s="1849">
        <f>AL48+AO48</f>
        <v>248081115.09364</v>
      </c>
      <c r="AI49" s="919"/>
      <c r="AJ49" s="919"/>
      <c r="AK49" s="919"/>
      <c r="AL49" s="919"/>
      <c r="AM49" s="919"/>
      <c r="AN49" s="920"/>
      <c r="AO49" s="921"/>
      <c r="AP49" s="922"/>
      <c r="AQ49" s="1928">
        <f>AW48+BA48</f>
        <v>449885294.66701096</v>
      </c>
      <c r="AR49" s="1929"/>
      <c r="AS49" s="1929"/>
      <c r="AT49" s="919"/>
      <c r="AU49" s="919"/>
      <c r="AV49" s="919"/>
      <c r="AW49" s="919"/>
      <c r="AX49" s="919"/>
      <c r="AY49" s="1757"/>
      <c r="AZ49" s="920"/>
      <c r="BA49" s="921"/>
      <c r="BB49" s="922"/>
      <c r="BC49" s="1928">
        <f>BH48+BL48</f>
        <v>452574538.62269342</v>
      </c>
      <c r="BD49" s="1929"/>
      <c r="BE49" s="919"/>
      <c r="BF49" s="919"/>
      <c r="BG49" s="919"/>
      <c r="BH49" s="919"/>
      <c r="BI49" s="919"/>
      <c r="BJ49" s="1757"/>
      <c r="BK49" s="920"/>
      <c r="BL49" s="921"/>
      <c r="BM49" s="922"/>
      <c r="BN49" s="1928">
        <f>BS48+BW48</f>
        <v>459397268.75043994</v>
      </c>
      <c r="BO49" s="1929"/>
      <c r="BP49" s="919"/>
      <c r="BQ49" s="919"/>
      <c r="BR49" s="919"/>
      <c r="BS49" s="919"/>
      <c r="BT49" s="919"/>
      <c r="BU49" s="1757"/>
      <c r="BV49" s="920"/>
      <c r="BW49" s="921"/>
      <c r="BX49" s="922"/>
      <c r="BY49" s="1928">
        <f>CD48+CH48</f>
        <v>466225349.91340566</v>
      </c>
      <c r="BZ49" s="1929"/>
      <c r="CA49" s="919"/>
      <c r="CB49" s="919"/>
      <c r="CC49" s="919"/>
      <c r="CD49" s="919"/>
      <c r="CE49" s="919"/>
      <c r="CF49" s="1757"/>
      <c r="CG49" s="920"/>
      <c r="CH49" s="921"/>
      <c r="CI49" s="922"/>
      <c r="CJ49" s="1928">
        <f>CO48+CS48</f>
        <v>473058889.13229489</v>
      </c>
      <c r="CK49" s="1929"/>
      <c r="CL49" s="919"/>
      <c r="CM49" s="919"/>
      <c r="CN49" s="919"/>
      <c r="CO49" s="919"/>
      <c r="CP49" s="919"/>
      <c r="CQ49" s="1757"/>
      <c r="CR49" s="920"/>
      <c r="CS49" s="921"/>
      <c r="CT49" s="922"/>
      <c r="CU49" s="917"/>
    </row>
    <row r="50" spans="1:99" s="918" customFormat="1" ht="21.75" customHeight="1" thickBot="1">
      <c r="A50" s="898" t="s">
        <v>205</v>
      </c>
      <c r="B50" s="924"/>
      <c r="C50" s="924">
        <f>'Kakamega Financials'!B8</f>
        <v>2950500</v>
      </c>
      <c r="D50" s="919"/>
      <c r="E50" s="919"/>
      <c r="F50" s="919"/>
      <c r="G50" s="919"/>
      <c r="H50" s="919"/>
      <c r="I50" s="920"/>
      <c r="J50" s="921"/>
      <c r="K50" s="922"/>
      <c r="L50" s="925"/>
      <c r="M50" s="924">
        <f>'Kakamega Financials'!C8</f>
        <v>4827320</v>
      </c>
      <c r="N50" s="919"/>
      <c r="O50" s="919"/>
      <c r="P50" s="919"/>
      <c r="Q50" s="919"/>
      <c r="R50" s="919"/>
      <c r="S50" s="920"/>
      <c r="T50" s="921"/>
      <c r="U50" s="922"/>
      <c r="V50" s="925"/>
      <c r="W50" s="924">
        <f>'Kakamega Financials'!D8</f>
        <v>366154</v>
      </c>
      <c r="X50" s="919"/>
      <c r="Y50" s="919"/>
      <c r="Z50" s="919"/>
      <c r="AA50" s="919"/>
      <c r="AB50" s="919"/>
      <c r="AC50" s="920"/>
      <c r="AD50" s="921"/>
      <c r="AE50" s="922"/>
      <c r="AF50" s="923"/>
      <c r="AG50" s="925"/>
      <c r="AH50" s="1629">
        <f>'Kakamega Financials'!E8</f>
        <v>3450378</v>
      </c>
      <c r="AI50" s="919"/>
      <c r="AJ50" s="919"/>
      <c r="AK50" s="919"/>
      <c r="AL50" s="919"/>
      <c r="AM50" s="919"/>
      <c r="AN50" s="920"/>
      <c r="AO50" s="921"/>
      <c r="AP50" s="922"/>
      <c r="AQ50" s="925">
        <f>'Kakamega Financials'!F8</f>
        <v>3519385.56</v>
      </c>
      <c r="AR50" s="924"/>
      <c r="AS50" s="1650"/>
      <c r="AT50" s="919"/>
      <c r="AU50" s="919"/>
      <c r="AV50" s="919"/>
      <c r="AW50" s="919"/>
      <c r="AX50" s="919"/>
      <c r="AY50" s="1757"/>
      <c r="AZ50" s="920"/>
      <c r="BA50" s="921"/>
      <c r="BB50" s="922"/>
      <c r="BC50" s="925"/>
      <c r="BD50" s="1732">
        <f>'Kakamega Financials'!G8</f>
        <v>3589773.2712000003</v>
      </c>
      <c r="BE50" s="919"/>
      <c r="BF50" s="919"/>
      <c r="BG50" s="919"/>
      <c r="BH50" s="919"/>
      <c r="BI50" s="919"/>
      <c r="BJ50" s="1757"/>
      <c r="BK50" s="920"/>
      <c r="BL50" s="921"/>
      <c r="BM50" s="922"/>
      <c r="BN50" s="925"/>
      <c r="BO50" s="1732">
        <f>'Kakamega Financials'!H8</f>
        <v>3661568.7366240006</v>
      </c>
      <c r="BP50" s="919"/>
      <c r="BQ50" s="919"/>
      <c r="BR50" s="919"/>
      <c r="BS50" s="919"/>
      <c r="BT50" s="919"/>
      <c r="BU50" s="1757"/>
      <c r="BV50" s="920"/>
      <c r="BW50" s="921"/>
      <c r="BX50" s="922"/>
      <c r="BY50" s="925">
        <f>'Kakamega Financials'!I8</f>
        <v>3734800.1113564805</v>
      </c>
      <c r="BZ50" s="1732"/>
      <c r="CA50" s="919"/>
      <c r="CB50" s="919"/>
      <c r="CC50" s="919"/>
      <c r="CD50" s="919"/>
      <c r="CE50" s="919"/>
      <c r="CF50" s="1757"/>
      <c r="CG50" s="920"/>
      <c r="CH50" s="921"/>
      <c r="CI50" s="922"/>
      <c r="CJ50" s="925">
        <f>'Kakamega Financials'!J8</f>
        <v>3809496.1135836104</v>
      </c>
      <c r="CK50" s="1732"/>
      <c r="CL50" s="919"/>
      <c r="CM50" s="919"/>
      <c r="CN50" s="919"/>
      <c r="CO50" s="919"/>
      <c r="CP50" s="919"/>
      <c r="CQ50" s="1757"/>
      <c r="CR50" s="920"/>
      <c r="CS50" s="921"/>
      <c r="CT50" s="922"/>
      <c r="CU50" s="917"/>
    </row>
    <row r="51" spans="1:99" s="918" customFormat="1" ht="21.75" customHeight="1" thickBot="1">
      <c r="A51" s="898" t="s">
        <v>206</v>
      </c>
      <c r="B51" s="926"/>
      <c r="C51" s="927">
        <f>C50+B49</f>
        <v>217052350.58181122</v>
      </c>
      <c r="D51" s="927"/>
      <c r="E51" s="927"/>
      <c r="F51" s="927"/>
      <c r="G51" s="927"/>
      <c r="H51" s="927"/>
      <c r="I51" s="927"/>
      <c r="J51" s="927"/>
      <c r="K51" s="928"/>
      <c r="L51" s="929"/>
      <c r="M51" s="927">
        <f>L49+M50</f>
        <v>204858803.45585001</v>
      </c>
      <c r="N51" s="927"/>
      <c r="O51" s="927"/>
      <c r="P51" s="927"/>
      <c r="Q51" s="927"/>
      <c r="R51" s="927"/>
      <c r="S51" s="927"/>
      <c r="T51" s="927"/>
      <c r="U51" s="928"/>
      <c r="V51" s="930">
        <f>V49+W50</f>
        <v>227155970.33786127</v>
      </c>
      <c r="W51" s="927"/>
      <c r="X51" s="927"/>
      <c r="Y51" s="927"/>
      <c r="Z51" s="927"/>
      <c r="AA51" s="927"/>
      <c r="AB51" s="927"/>
      <c r="AC51" s="927"/>
      <c r="AD51" s="927"/>
      <c r="AE51" s="928"/>
      <c r="AF51" s="931"/>
      <c r="AG51" s="929"/>
      <c r="AH51" s="1630">
        <f>AH49+AH50</f>
        <v>251531493.09364</v>
      </c>
      <c r="AI51" s="927"/>
      <c r="AJ51" s="927"/>
      <c r="AK51" s="927"/>
      <c r="AL51" s="927"/>
      <c r="AM51" s="927"/>
      <c r="AN51" s="927"/>
      <c r="AO51" s="927"/>
      <c r="AP51" s="928"/>
      <c r="AQ51" s="932">
        <f>AQ49+AQ50</f>
        <v>453404680.22701097</v>
      </c>
      <c r="AR51" s="933"/>
      <c r="AS51" s="1651"/>
      <c r="AT51" s="927"/>
      <c r="AU51" s="927"/>
      <c r="AV51" s="927"/>
      <c r="AW51" s="927"/>
      <c r="AX51" s="927"/>
      <c r="AY51" s="1758"/>
      <c r="AZ51" s="927"/>
      <c r="BA51" s="927"/>
      <c r="BB51" s="928"/>
      <c r="BC51" s="929"/>
      <c r="BD51" s="1733">
        <f>BC49+BD50</f>
        <v>456164311.89389342</v>
      </c>
      <c r="BE51" s="927"/>
      <c r="BF51" s="927"/>
      <c r="BG51" s="927"/>
      <c r="BH51" s="927"/>
      <c r="BI51" s="927"/>
      <c r="BJ51" s="1758"/>
      <c r="BK51" s="927"/>
      <c r="BL51" s="927"/>
      <c r="BM51" s="928"/>
      <c r="BN51" s="929"/>
      <c r="BO51" s="1733">
        <f>BN49+BO50</f>
        <v>463058837.48706394</v>
      </c>
      <c r="BP51" s="927"/>
      <c r="BQ51" s="927"/>
      <c r="BR51" s="927"/>
      <c r="BS51" s="927"/>
      <c r="BT51" s="927"/>
      <c r="BU51" s="1758"/>
      <c r="BV51" s="927"/>
      <c r="BW51" s="927"/>
      <c r="BX51" s="928"/>
      <c r="BY51" s="930">
        <f>BY49+BY50</f>
        <v>469960150.02476215</v>
      </c>
      <c r="BZ51" s="1733"/>
      <c r="CA51" s="927"/>
      <c r="CB51" s="927"/>
      <c r="CC51" s="927"/>
      <c r="CD51" s="927"/>
      <c r="CE51" s="927"/>
      <c r="CF51" s="1758"/>
      <c r="CG51" s="927"/>
      <c r="CH51" s="927"/>
      <c r="CI51" s="928"/>
      <c r="CJ51" s="930">
        <f>CJ49+CJ50</f>
        <v>476868385.24587852</v>
      </c>
      <c r="CK51" s="1733"/>
      <c r="CL51" s="927"/>
      <c r="CM51" s="927"/>
      <c r="CN51" s="927"/>
      <c r="CO51" s="927"/>
      <c r="CP51" s="927"/>
      <c r="CQ51" s="1758"/>
      <c r="CR51" s="927"/>
      <c r="CS51" s="927"/>
      <c r="CT51" s="928"/>
      <c r="CU51" s="917"/>
    </row>
    <row r="52" spans="1:99" s="918" customFormat="1" ht="22.5" customHeight="1" thickBot="1">
      <c r="A52" s="898" t="s">
        <v>207</v>
      </c>
      <c r="B52" s="934"/>
      <c r="C52" s="935">
        <f>B49/(F48+I48)</f>
        <v>46.15024903498341</v>
      </c>
      <c r="D52" s="934"/>
      <c r="E52" s="934"/>
      <c r="F52" s="926"/>
      <c r="G52" s="926"/>
      <c r="H52" s="936"/>
      <c r="I52" s="937"/>
      <c r="J52" s="937"/>
      <c r="K52" s="938"/>
      <c r="L52" s="934"/>
      <c r="M52" s="935">
        <f>L49/(P48+S48)</f>
        <v>40.596834649096962</v>
      </c>
      <c r="N52" s="934"/>
      <c r="O52" s="934"/>
      <c r="P52" s="926"/>
      <c r="Q52" s="926"/>
      <c r="R52" s="936"/>
      <c r="S52" s="937"/>
      <c r="T52" s="937"/>
      <c r="U52" s="938"/>
      <c r="V52" s="934"/>
      <c r="W52" s="939">
        <f>V49/(Z48+AC48)</f>
        <v>45.415672963206603</v>
      </c>
      <c r="X52" s="934"/>
      <c r="Y52" s="934"/>
      <c r="Z52" s="926"/>
      <c r="AA52" s="926"/>
      <c r="AB52" s="936"/>
      <c r="AC52" s="937"/>
      <c r="AD52" s="937"/>
      <c r="AE52" s="938"/>
      <c r="AF52" s="940"/>
      <c r="AG52" s="934"/>
      <c r="AH52" s="1631">
        <f>AH49/(AK48+AN48)</f>
        <v>48.540535624957563</v>
      </c>
      <c r="AI52" s="934"/>
      <c r="AJ52" s="934"/>
      <c r="AK52" s="926"/>
      <c r="AL52" s="926"/>
      <c r="AM52" s="936"/>
      <c r="AN52" s="937"/>
      <c r="AO52" s="937"/>
      <c r="AP52" s="938"/>
      <c r="AQ52" s="939">
        <f>AQ49/(AV48+AZ48)</f>
        <v>67.994518905425508</v>
      </c>
      <c r="AR52" s="934"/>
      <c r="AS52" s="1652"/>
      <c r="AT52" s="934"/>
      <c r="AU52" s="934"/>
      <c r="AV52" s="926"/>
      <c r="AW52" s="926"/>
      <c r="AX52" s="936"/>
      <c r="AY52" s="1759"/>
      <c r="AZ52" s="937"/>
      <c r="BA52" s="937"/>
      <c r="BB52" s="938"/>
      <c r="BC52" s="939">
        <f>BC49/(BG48+BK48)</f>
        <v>68.400964395317089</v>
      </c>
      <c r="BD52" s="1734"/>
      <c r="BE52" s="934"/>
      <c r="BF52" s="934"/>
      <c r="BG52" s="926"/>
      <c r="BH52" s="926"/>
      <c r="BI52" s="936"/>
      <c r="BJ52" s="1759"/>
      <c r="BK52" s="937"/>
      <c r="BL52" s="937"/>
      <c r="BM52" s="938"/>
      <c r="BN52" s="939">
        <f>BN49/(BR48+BV48)</f>
        <v>68.411073668438718</v>
      </c>
      <c r="BO52" s="1734"/>
      <c r="BP52" s="934"/>
      <c r="BQ52" s="934"/>
      <c r="BR52" s="926"/>
      <c r="BS52" s="926"/>
      <c r="BT52" s="936"/>
      <c r="BU52" s="1759"/>
      <c r="BV52" s="937"/>
      <c r="BW52" s="937"/>
      <c r="BX52" s="938"/>
      <c r="BY52" s="939">
        <f>BY49/(CC48+CG48)</f>
        <v>68.421675219207998</v>
      </c>
      <c r="BZ52" s="1734"/>
      <c r="CA52" s="934"/>
      <c r="CB52" s="934"/>
      <c r="CC52" s="926"/>
      <c r="CD52" s="926"/>
      <c r="CE52" s="936"/>
      <c r="CF52" s="1759"/>
      <c r="CG52" s="937"/>
      <c r="CH52" s="937"/>
      <c r="CI52" s="938"/>
      <c r="CJ52" s="939">
        <f>CJ49/(CN48+CR48)</f>
        <v>68.432763431641177</v>
      </c>
      <c r="CK52" s="1734"/>
      <c r="CL52" s="934"/>
      <c r="CM52" s="934"/>
      <c r="CN52" s="926"/>
      <c r="CO52" s="926"/>
      <c r="CP52" s="936"/>
      <c r="CQ52" s="1759"/>
      <c r="CR52" s="937"/>
      <c r="CS52" s="937"/>
      <c r="CT52" s="938"/>
      <c r="CU52" s="917"/>
    </row>
    <row r="53" spans="1:99" ht="13.5" thickBot="1">
      <c r="A53" s="941"/>
      <c r="B53" s="942" t="s">
        <v>208</v>
      </c>
      <c r="C53" s="943"/>
      <c r="D53" s="943"/>
      <c r="E53" s="943"/>
      <c r="F53" s="943"/>
      <c r="G53" s="943"/>
      <c r="H53" s="943"/>
      <c r="I53" s="943"/>
      <c r="J53" s="943"/>
      <c r="K53" s="944"/>
      <c r="L53" s="942" t="s">
        <v>208</v>
      </c>
      <c r="M53" s="943"/>
      <c r="N53" s="943"/>
      <c r="O53" s="943"/>
      <c r="P53" s="943"/>
      <c r="Q53" s="943"/>
      <c r="R53" s="943"/>
      <c r="S53" s="943"/>
      <c r="T53" s="943"/>
      <c r="U53" s="944"/>
      <c r="V53" s="942" t="s">
        <v>208</v>
      </c>
      <c r="W53" s="943"/>
      <c r="X53" s="943"/>
      <c r="Y53" s="943"/>
      <c r="Z53" s="943"/>
      <c r="AA53" s="943"/>
      <c r="AB53" s="943"/>
      <c r="AC53" s="943"/>
      <c r="AD53" s="943"/>
      <c r="AE53" s="944"/>
      <c r="AF53" s="945"/>
      <c r="AG53" s="942" t="s">
        <v>208</v>
      </c>
      <c r="AH53" s="1632"/>
      <c r="AI53" s="943"/>
      <c r="AJ53" s="943"/>
      <c r="AK53" s="943"/>
      <c r="AL53" s="943"/>
      <c r="AM53" s="943"/>
      <c r="AN53" s="943"/>
      <c r="AO53" s="943"/>
      <c r="AP53" s="944"/>
      <c r="AQ53" s="942" t="s">
        <v>208</v>
      </c>
      <c r="AR53" s="942"/>
      <c r="AS53" s="1653"/>
      <c r="AT53" s="943"/>
      <c r="AU53" s="943"/>
      <c r="AV53" s="943"/>
      <c r="AW53" s="943"/>
      <c r="AX53" s="943"/>
      <c r="AY53" s="1760"/>
      <c r="AZ53" s="943"/>
      <c r="BA53" s="943"/>
      <c r="BB53" s="944"/>
      <c r="BC53" s="942" t="s">
        <v>208</v>
      </c>
      <c r="BD53" s="1735"/>
      <c r="BE53" s="943"/>
      <c r="BF53" s="943"/>
      <c r="BG53" s="943"/>
      <c r="BH53" s="943"/>
      <c r="BI53" s="943"/>
      <c r="BJ53" s="1760"/>
      <c r="BK53" s="943"/>
      <c r="BL53" s="943"/>
      <c r="BM53" s="944"/>
      <c r="BN53" s="942" t="s">
        <v>208</v>
      </c>
      <c r="BO53" s="1735"/>
      <c r="BP53" s="943"/>
      <c r="BQ53" s="943"/>
      <c r="BR53" s="943"/>
      <c r="BS53" s="943"/>
      <c r="BT53" s="943"/>
      <c r="BU53" s="1760"/>
      <c r="BV53" s="943"/>
      <c r="BW53" s="943"/>
      <c r="BX53" s="944"/>
      <c r="BY53" s="942" t="s">
        <v>208</v>
      </c>
      <c r="BZ53" s="1735"/>
      <c r="CA53" s="943"/>
      <c r="CB53" s="943"/>
      <c r="CC53" s="943"/>
      <c r="CD53" s="943"/>
      <c r="CE53" s="943"/>
      <c r="CF53" s="1760"/>
      <c r="CG53" s="943"/>
      <c r="CH53" s="943"/>
      <c r="CI53" s="944"/>
      <c r="CJ53" s="942" t="s">
        <v>208</v>
      </c>
      <c r="CK53" s="1735"/>
      <c r="CL53" s="943"/>
      <c r="CM53" s="943"/>
      <c r="CN53" s="943"/>
      <c r="CO53" s="943"/>
      <c r="CP53" s="943"/>
      <c r="CQ53" s="1760"/>
      <c r="CR53" s="943"/>
      <c r="CS53" s="943"/>
      <c r="CT53" s="944"/>
    </row>
    <row r="55" spans="1:99" ht="13.5" customHeight="1" thickBot="1"/>
    <row r="56" spans="1:99" ht="13.5" thickBot="1">
      <c r="A56" s="898"/>
    </row>
    <row r="58" spans="1:99" ht="13.5" thickBot="1"/>
    <row r="59" spans="1:99" ht="13.5" thickBot="1">
      <c r="A59" s="898"/>
    </row>
    <row r="64" spans="1:99" hidden="1"/>
    <row r="65" spans="2:53" hidden="1"/>
    <row r="66" spans="2:53" hidden="1"/>
    <row r="67" spans="2:53" hidden="1"/>
    <row r="68" spans="2:53" hidden="1"/>
    <row r="69" spans="2:53" hidden="1"/>
    <row r="70" spans="2:53" hidden="1"/>
    <row r="71" spans="2:53" hidden="1"/>
    <row r="72" spans="2:53" hidden="1"/>
    <row r="73" spans="2:53" ht="25.5">
      <c r="E73" s="946" t="s">
        <v>414</v>
      </c>
      <c r="AG73" s="1927"/>
      <c r="AH73" s="1927"/>
      <c r="AI73" s="1927"/>
      <c r="AJ73" s="1927"/>
      <c r="AK73" s="1927"/>
      <c r="AL73" s="947"/>
      <c r="AM73" s="947"/>
      <c r="AN73" s="947"/>
      <c r="AO73" s="947"/>
      <c r="AP73" s="947"/>
      <c r="BA73" s="948"/>
    </row>
    <row r="74" spans="2:53" ht="25.9" customHeight="1">
      <c r="B74" s="949" t="s">
        <v>389</v>
      </c>
      <c r="C74" s="1848"/>
      <c r="D74" s="951" t="s">
        <v>390</v>
      </c>
      <c r="E74" s="949" t="s">
        <v>391</v>
      </c>
      <c r="AG74" s="952"/>
      <c r="AH74" s="1633"/>
      <c r="AI74" s="952"/>
      <c r="AJ74" s="952"/>
      <c r="AK74" s="952"/>
      <c r="AL74" s="953"/>
      <c r="AM74" s="953"/>
      <c r="AN74" s="953"/>
      <c r="AO74" s="953"/>
      <c r="AP74" s="953"/>
    </row>
    <row r="75" spans="2:53" ht="15">
      <c r="B75" s="177" t="s">
        <v>10</v>
      </c>
      <c r="C75" s="950"/>
      <c r="D75" s="954">
        <v>0.75</v>
      </c>
      <c r="E75" s="1923">
        <v>0.32600000000000001</v>
      </c>
      <c r="AG75" s="955"/>
      <c r="AH75" s="1634"/>
      <c r="AI75" s="955"/>
      <c r="AJ75" s="955"/>
      <c r="AK75" s="955"/>
      <c r="AL75" s="955"/>
      <c r="AM75" s="955"/>
      <c r="AN75" s="955"/>
      <c r="AO75" s="956"/>
      <c r="AP75" s="956"/>
    </row>
    <row r="76" spans="2:53" ht="15.75">
      <c r="B76" s="177" t="s">
        <v>386</v>
      </c>
      <c r="C76" s="950"/>
      <c r="D76" s="954">
        <v>1</v>
      </c>
      <c r="E76" s="1923"/>
      <c r="G76" s="1655" t="s">
        <v>1021</v>
      </c>
      <c r="AG76" s="955"/>
      <c r="AH76" s="1634"/>
      <c r="AI76" s="955"/>
      <c r="AJ76" s="955"/>
      <c r="AK76" s="955"/>
      <c r="AL76" s="955"/>
      <c r="AM76" s="955"/>
      <c r="AN76" s="955"/>
      <c r="AO76" s="956"/>
      <c r="AP76" s="956"/>
    </row>
    <row r="77" spans="2:53" ht="13.35" customHeight="1">
      <c r="B77" s="177" t="s">
        <v>362</v>
      </c>
      <c r="C77" s="950"/>
      <c r="D77" s="954">
        <v>0.75</v>
      </c>
      <c r="E77" s="1923"/>
      <c r="AG77" s="955"/>
      <c r="AH77" s="1634"/>
      <c r="AI77" s="955"/>
      <c r="AJ77" s="955"/>
      <c r="AK77" s="955"/>
      <c r="AL77" s="955"/>
      <c r="AM77" s="955"/>
      <c r="AN77" s="955"/>
      <c r="AO77" s="956"/>
      <c r="AP77" s="956"/>
    </row>
    <row r="78" spans="2:53" ht="15">
      <c r="B78" s="177" t="s">
        <v>20</v>
      </c>
      <c r="C78" s="950"/>
      <c r="D78" s="954">
        <v>0.75</v>
      </c>
      <c r="E78" s="1923"/>
      <c r="G78" s="1656" t="s">
        <v>1022</v>
      </c>
      <c r="AG78" s="955"/>
      <c r="AH78" s="1634"/>
      <c r="AI78" s="955"/>
      <c r="AJ78" s="955"/>
      <c r="AK78" s="955"/>
      <c r="AL78" s="955"/>
      <c r="AM78" s="955"/>
      <c r="AN78" s="955"/>
      <c r="AO78" s="956"/>
      <c r="AP78" s="956"/>
    </row>
    <row r="79" spans="2:53" ht="15">
      <c r="B79" s="177" t="s">
        <v>16</v>
      </c>
      <c r="C79" s="950"/>
      <c r="D79" s="957"/>
      <c r="E79" s="1923"/>
      <c r="J79" s="764"/>
      <c r="K79" s="764"/>
      <c r="L79" s="764"/>
      <c r="M79" s="764"/>
      <c r="N79" s="764"/>
      <c r="AG79" s="955"/>
      <c r="AH79" s="1634"/>
      <c r="AI79" s="955"/>
      <c r="AJ79" s="955"/>
      <c r="AK79" s="955"/>
      <c r="AL79" s="955"/>
      <c r="AM79" s="955"/>
      <c r="AN79" s="955"/>
      <c r="AO79" s="956"/>
      <c r="AP79" s="956"/>
    </row>
    <row r="80" spans="2:53" ht="15">
      <c r="B80" s="177"/>
      <c r="C80" s="950"/>
      <c r="D80" s="954"/>
      <c r="E80" s="1923"/>
      <c r="J80" s="764"/>
      <c r="K80" s="764"/>
      <c r="L80" s="764"/>
      <c r="M80" s="764"/>
      <c r="N80" s="764"/>
      <c r="AG80" s="955"/>
      <c r="AH80" s="1634"/>
      <c r="AI80" s="955"/>
      <c r="AJ80" s="955"/>
      <c r="AK80" s="955"/>
      <c r="AL80" s="955"/>
      <c r="AM80" s="955"/>
      <c r="AN80" s="955"/>
      <c r="AO80" s="956"/>
      <c r="AP80" s="956"/>
    </row>
    <row r="81" spans="1:42" ht="15">
      <c r="B81" s="177"/>
      <c r="C81" s="950"/>
      <c r="D81" s="957"/>
      <c r="E81" s="1923"/>
      <c r="J81" s="764"/>
      <c r="K81" s="764"/>
      <c r="L81" s="764"/>
      <c r="M81" s="764"/>
      <c r="N81" s="764"/>
      <c r="AG81" s="955"/>
      <c r="AH81" s="1634"/>
      <c r="AI81" s="955"/>
      <c r="AJ81" s="955"/>
      <c r="AK81" s="955"/>
      <c r="AL81" s="955"/>
      <c r="AM81" s="955"/>
      <c r="AN81" s="955"/>
      <c r="AO81" s="956"/>
      <c r="AP81" s="956"/>
    </row>
    <row r="82" spans="1:42" ht="15">
      <c r="J82" s="764"/>
      <c r="K82" s="764"/>
      <c r="L82" s="764"/>
      <c r="M82" s="764"/>
      <c r="N82" s="764"/>
      <c r="AG82" s="955"/>
      <c r="AH82" s="1634"/>
      <c r="AI82" s="955"/>
      <c r="AJ82" s="955"/>
      <c r="AK82" s="955"/>
      <c r="AL82" s="955"/>
      <c r="AM82" s="955"/>
      <c r="AN82" s="955"/>
      <c r="AO82" s="956"/>
      <c r="AP82" s="956"/>
    </row>
    <row r="83" spans="1:42" ht="15">
      <c r="J83" s="764"/>
      <c r="K83" s="764"/>
      <c r="L83" s="764"/>
      <c r="M83" s="764"/>
      <c r="N83" s="764"/>
      <c r="AG83" s="955"/>
      <c r="AH83" s="1634"/>
      <c r="AI83" s="955"/>
      <c r="AJ83" s="955"/>
      <c r="AK83" s="955"/>
      <c r="AL83" s="955"/>
      <c r="AM83" s="955"/>
      <c r="AN83" s="955"/>
      <c r="AO83" s="956"/>
      <c r="AP83" s="956"/>
    </row>
    <row r="84" spans="1:42" ht="15">
      <c r="B84" s="949" t="s">
        <v>396</v>
      </c>
      <c r="C84" s="949" t="s">
        <v>395</v>
      </c>
      <c r="D84" s="949" t="s">
        <v>5</v>
      </c>
      <c r="E84" s="949" t="s">
        <v>6</v>
      </c>
      <c r="F84" s="949" t="s">
        <v>7</v>
      </c>
      <c r="G84" s="949" t="s">
        <v>8</v>
      </c>
      <c r="H84" s="949" t="s">
        <v>9</v>
      </c>
      <c r="I84" s="949" t="s">
        <v>397</v>
      </c>
      <c r="J84" s="958"/>
      <c r="K84" s="764"/>
      <c r="L84" s="764"/>
      <c r="M84" s="764"/>
      <c r="N84" s="764"/>
      <c r="AG84" s="955"/>
      <c r="AH84" s="1634"/>
      <c r="AI84" s="955"/>
      <c r="AJ84" s="955"/>
      <c r="AK84" s="955"/>
      <c r="AL84" s="955"/>
      <c r="AM84" s="955"/>
      <c r="AN84" s="955"/>
      <c r="AO84" s="956"/>
      <c r="AP84" s="956"/>
    </row>
    <row r="85" spans="1:42" ht="15">
      <c r="A85" s="948"/>
      <c r="B85" s="1919" t="s">
        <v>394</v>
      </c>
      <c r="C85" s="1521" t="s">
        <v>922</v>
      </c>
      <c r="D85" s="960">
        <v>0.55000000000000004</v>
      </c>
      <c r="E85" s="960"/>
      <c r="F85" s="960"/>
      <c r="G85" s="960"/>
      <c r="H85" s="960"/>
      <c r="I85" s="960">
        <f t="shared" ref="I85:I96" si="150">SUM(D85:H85)</f>
        <v>0.55000000000000004</v>
      </c>
      <c r="J85" s="961"/>
      <c r="K85" s="962"/>
      <c r="L85" s="764"/>
      <c r="M85" s="961"/>
      <c r="N85" s="961"/>
      <c r="AG85" s="955"/>
      <c r="AH85" s="1634"/>
      <c r="AI85" s="955"/>
      <c r="AJ85" s="955"/>
      <c r="AK85" s="955"/>
      <c r="AL85" s="955"/>
      <c r="AM85" s="955"/>
      <c r="AN85" s="955"/>
      <c r="AO85" s="955"/>
      <c r="AP85" s="955"/>
    </row>
    <row r="86" spans="1:42" ht="15">
      <c r="A86" s="948"/>
      <c r="B86" s="1919"/>
      <c r="C86" s="963" t="s">
        <v>419</v>
      </c>
      <c r="D86" s="960">
        <v>0.4</v>
      </c>
      <c r="E86" s="960"/>
      <c r="F86" s="960"/>
      <c r="G86" s="960"/>
      <c r="H86" s="960"/>
      <c r="I86" s="960">
        <f t="shared" si="150"/>
        <v>0.4</v>
      </c>
      <c r="J86" s="961"/>
      <c r="K86" s="962"/>
      <c r="L86" s="764"/>
      <c r="M86" s="961"/>
      <c r="N86" s="961"/>
      <c r="AG86" s="955"/>
      <c r="AH86" s="1634"/>
      <c r="AI86" s="955"/>
      <c r="AJ86" s="955"/>
      <c r="AK86" s="955"/>
      <c r="AL86" s="955"/>
      <c r="AM86" s="955"/>
      <c r="AN86" s="955"/>
      <c r="AO86" s="955"/>
      <c r="AP86" s="955"/>
    </row>
    <row r="87" spans="1:42" ht="15">
      <c r="A87" s="948"/>
      <c r="B87" s="1919"/>
      <c r="C87" s="964" t="s">
        <v>491</v>
      </c>
      <c r="D87" s="960">
        <v>0.3</v>
      </c>
      <c r="E87" s="960"/>
      <c r="F87" s="960"/>
      <c r="G87" s="960"/>
      <c r="H87" s="960"/>
      <c r="I87" s="960">
        <f t="shared" si="150"/>
        <v>0.3</v>
      </c>
      <c r="J87" s="961"/>
      <c r="K87" s="962"/>
      <c r="L87" s="764"/>
      <c r="M87" s="961"/>
      <c r="N87" s="961"/>
      <c r="AG87" s="955"/>
      <c r="AH87" s="1634"/>
      <c r="AI87" s="955"/>
      <c r="AJ87" s="955"/>
      <c r="AK87" s="955"/>
      <c r="AL87" s="955"/>
      <c r="AM87" s="955"/>
      <c r="AN87" s="955"/>
      <c r="AO87" s="955"/>
      <c r="AP87" s="965"/>
    </row>
    <row r="88" spans="1:42" ht="15">
      <c r="A88" s="948"/>
      <c r="B88" s="1919"/>
      <c r="C88" s="964" t="s">
        <v>482</v>
      </c>
      <c r="D88" s="960">
        <v>0.25</v>
      </c>
      <c r="E88" s="960"/>
      <c r="F88" s="960"/>
      <c r="G88" s="960"/>
      <c r="H88" s="960"/>
      <c r="I88" s="960">
        <f t="shared" si="150"/>
        <v>0.25</v>
      </c>
      <c r="J88" s="961"/>
      <c r="K88" s="962"/>
      <c r="L88" s="764"/>
      <c r="M88" s="961"/>
      <c r="N88" s="961"/>
      <c r="AG88" s="947"/>
      <c r="AH88" s="1635"/>
      <c r="AI88" s="947"/>
      <c r="AJ88" s="947"/>
      <c r="AK88" s="947"/>
      <c r="AL88" s="947"/>
      <c r="AM88" s="947"/>
      <c r="AN88" s="955"/>
      <c r="AO88" s="955"/>
      <c r="AP88" s="947"/>
    </row>
    <row r="89" spans="1:42">
      <c r="A89" s="948"/>
      <c r="B89" s="1919"/>
      <c r="C89" s="964" t="s">
        <v>483</v>
      </c>
      <c r="D89" s="960">
        <v>0.11</v>
      </c>
      <c r="E89" s="960"/>
      <c r="F89" s="960"/>
      <c r="G89" s="960"/>
      <c r="H89" s="960"/>
      <c r="I89" s="960">
        <f t="shared" si="150"/>
        <v>0.11</v>
      </c>
      <c r="J89" s="961"/>
      <c r="K89" s="962"/>
      <c r="L89" s="764"/>
      <c r="M89" s="961"/>
      <c r="N89" s="961"/>
      <c r="AG89" s="947"/>
      <c r="AH89" s="1635"/>
      <c r="AI89" s="947"/>
      <c r="AJ89" s="947"/>
      <c r="AK89" s="947"/>
      <c r="AL89" s="947"/>
      <c r="AM89" s="947"/>
      <c r="AN89" s="966"/>
      <c r="AO89" s="966"/>
      <c r="AP89" s="947"/>
    </row>
    <row r="90" spans="1:42">
      <c r="A90" s="948"/>
      <c r="B90" s="1919"/>
      <c r="C90" s="964" t="s">
        <v>484</v>
      </c>
      <c r="D90" s="960">
        <v>0.14000000000000001</v>
      </c>
      <c r="E90" s="960"/>
      <c r="F90" s="960"/>
      <c r="G90" s="960"/>
      <c r="H90" s="960"/>
      <c r="I90" s="960">
        <f t="shared" si="150"/>
        <v>0.14000000000000001</v>
      </c>
      <c r="J90" s="961"/>
      <c r="K90" s="962"/>
      <c r="L90" s="764"/>
      <c r="M90" s="961"/>
      <c r="N90" s="961"/>
      <c r="AG90" s="967"/>
      <c r="AH90" s="1636"/>
      <c r="AI90" s="967"/>
      <c r="AJ90" s="967"/>
      <c r="AK90" s="967"/>
      <c r="AL90" s="967"/>
      <c r="AM90" s="967"/>
      <c r="AN90" s="966"/>
      <c r="AO90" s="966"/>
      <c r="AP90" s="947"/>
    </row>
    <row r="91" spans="1:42">
      <c r="A91" s="948"/>
      <c r="B91" s="1924" t="s">
        <v>374</v>
      </c>
      <c r="C91" s="1522" t="s">
        <v>923</v>
      </c>
      <c r="D91" s="960">
        <v>0.98</v>
      </c>
      <c r="E91" s="960"/>
      <c r="F91" s="960"/>
      <c r="G91" s="960"/>
      <c r="H91" s="960"/>
      <c r="I91" s="960">
        <f>SUM(D91:H91)</f>
        <v>0.98</v>
      </c>
      <c r="J91" s="961"/>
      <c r="K91" s="962"/>
      <c r="L91" s="764"/>
      <c r="M91" s="961"/>
      <c r="N91" s="961"/>
      <c r="AG91" s="967"/>
      <c r="AH91" s="1636"/>
      <c r="AI91" s="967"/>
      <c r="AJ91" s="967"/>
      <c r="AK91" s="967"/>
      <c r="AL91" s="967"/>
      <c r="AM91" s="967"/>
      <c r="AN91" s="966"/>
      <c r="AO91" s="966"/>
      <c r="AP91" s="947"/>
    </row>
    <row r="92" spans="1:42" ht="15">
      <c r="A92" s="948"/>
      <c r="B92" s="1925"/>
      <c r="C92" s="963" t="s">
        <v>482</v>
      </c>
      <c r="D92" s="960">
        <v>1.05</v>
      </c>
      <c r="E92" s="960"/>
      <c r="F92" s="960"/>
      <c r="G92" s="960"/>
      <c r="H92" s="960"/>
      <c r="I92" s="960">
        <f>SUM(D92:H92)</f>
        <v>1.05</v>
      </c>
      <c r="J92" s="961"/>
      <c r="K92" s="962"/>
      <c r="L92" s="764"/>
      <c r="M92" s="961"/>
      <c r="N92" s="961"/>
      <c r="AG92" s="968"/>
      <c r="AH92" s="1637"/>
      <c r="AI92" s="955"/>
      <c r="AJ92" s="970"/>
      <c r="AK92" s="969"/>
      <c r="AL92" s="971"/>
      <c r="AM92" s="972"/>
      <c r="AN92" s="966"/>
      <c r="AO92" s="966"/>
      <c r="AP92" s="955"/>
    </row>
    <row r="93" spans="1:42" ht="15">
      <c r="A93" s="948"/>
      <c r="B93" s="1925"/>
      <c r="C93" s="964" t="s">
        <v>483</v>
      </c>
      <c r="D93" s="960">
        <v>0.75</v>
      </c>
      <c r="E93" s="960"/>
      <c r="F93" s="960"/>
      <c r="G93" s="960"/>
      <c r="H93" s="960"/>
      <c r="I93" s="960">
        <f t="shared" si="150"/>
        <v>0.75</v>
      </c>
      <c r="J93" s="961"/>
      <c r="K93" s="962"/>
      <c r="L93" s="764"/>
      <c r="M93" s="961"/>
      <c r="N93" s="961"/>
      <c r="AG93" s="968"/>
      <c r="AH93" s="1637"/>
      <c r="AI93" s="955"/>
      <c r="AJ93" s="969"/>
      <c r="AK93" s="969"/>
      <c r="AL93" s="971"/>
      <c r="AM93" s="972"/>
      <c r="AN93" s="966"/>
      <c r="AO93" s="966"/>
      <c r="AP93" s="955"/>
    </row>
    <row r="94" spans="1:42" ht="15">
      <c r="A94" s="948"/>
      <c r="B94" s="1925"/>
      <c r="C94" s="959" t="s">
        <v>484</v>
      </c>
      <c r="D94" s="960">
        <v>0.94</v>
      </c>
      <c r="E94" s="960"/>
      <c r="F94" s="960"/>
      <c r="G94" s="960"/>
      <c r="H94" s="960"/>
      <c r="I94" s="960">
        <f t="shared" si="150"/>
        <v>0.94</v>
      </c>
      <c r="J94" s="961"/>
      <c r="K94" s="962"/>
      <c r="L94" s="764"/>
      <c r="M94" s="961"/>
      <c r="N94" s="961"/>
      <c r="AG94" s="968"/>
      <c r="AH94" s="1637"/>
      <c r="AI94" s="955"/>
      <c r="AJ94" s="973"/>
      <c r="AK94" s="973"/>
      <c r="AL94" s="971"/>
      <c r="AM94" s="972"/>
      <c r="AN94" s="966"/>
      <c r="AO94" s="966"/>
      <c r="AP94" s="955"/>
    </row>
    <row r="95" spans="1:42" ht="15">
      <c r="A95" s="948"/>
      <c r="B95" s="1925"/>
      <c r="C95" s="959"/>
      <c r="D95" s="960"/>
      <c r="E95" s="960"/>
      <c r="F95" s="960"/>
      <c r="G95" s="960"/>
      <c r="H95" s="960"/>
      <c r="I95" s="960">
        <f t="shared" si="150"/>
        <v>0</v>
      </c>
      <c r="J95" s="961"/>
      <c r="K95" s="962"/>
      <c r="L95" s="764"/>
      <c r="M95" s="961"/>
      <c r="N95" s="764"/>
      <c r="AG95" s="968"/>
      <c r="AH95" s="1637"/>
      <c r="AI95" s="955"/>
      <c r="AJ95" s="973"/>
      <c r="AK95" s="973"/>
      <c r="AL95" s="971"/>
      <c r="AM95" s="972"/>
      <c r="AN95" s="966"/>
      <c r="AO95" s="966"/>
      <c r="AP95" s="955"/>
    </row>
    <row r="96" spans="1:42" ht="15">
      <c r="A96" s="948"/>
      <c r="B96" s="1926"/>
      <c r="C96" s="959"/>
      <c r="D96" s="960"/>
      <c r="E96" s="960"/>
      <c r="F96" s="960"/>
      <c r="G96" s="960"/>
      <c r="H96" s="960"/>
      <c r="I96" s="960">
        <f t="shared" si="150"/>
        <v>0</v>
      </c>
      <c r="J96" s="961"/>
      <c r="K96" s="962"/>
      <c r="L96" s="764"/>
      <c r="M96" s="764"/>
      <c r="N96" s="764"/>
      <c r="AG96" s="968"/>
      <c r="AH96" s="1637"/>
      <c r="AI96" s="955"/>
      <c r="AJ96" s="973"/>
      <c r="AK96" s="973"/>
      <c r="AL96" s="971"/>
      <c r="AM96" s="972"/>
      <c r="AN96" s="966"/>
      <c r="AO96" s="966"/>
      <c r="AP96" s="955"/>
    </row>
    <row r="97" spans="1:42" ht="15">
      <c r="A97" s="948"/>
      <c r="B97" s="1924" t="s">
        <v>362</v>
      </c>
      <c r="C97" s="1521" t="s">
        <v>890</v>
      </c>
      <c r="D97" s="960">
        <f>D91</f>
        <v>0.98</v>
      </c>
      <c r="E97" s="974"/>
      <c r="F97" s="974"/>
      <c r="G97" s="974"/>
      <c r="H97" s="974"/>
      <c r="I97" s="960">
        <f>SUM(D97:H97)</f>
        <v>0.98</v>
      </c>
      <c r="J97" s="961"/>
      <c r="K97" s="962"/>
      <c r="L97" s="764"/>
      <c r="M97" s="764"/>
      <c r="N97" s="764"/>
      <c r="AG97" s="968"/>
      <c r="AH97" s="1637"/>
      <c r="AI97" s="975"/>
      <c r="AJ97" s="973"/>
      <c r="AK97" s="973"/>
      <c r="AL97" s="971"/>
      <c r="AM97" s="972"/>
      <c r="AN97" s="966"/>
      <c r="AO97" s="966"/>
      <c r="AP97" s="955"/>
    </row>
    <row r="98" spans="1:42" ht="15">
      <c r="A98" s="948"/>
      <c r="B98" s="1925"/>
      <c r="C98" s="976" t="s">
        <v>477</v>
      </c>
      <c r="D98" s="960">
        <f>D92</f>
        <v>1.05</v>
      </c>
      <c r="E98" s="974"/>
      <c r="F98" s="974"/>
      <c r="G98" s="974"/>
      <c r="H98" s="974"/>
      <c r="I98" s="960">
        <f>SUM(D98:H98)</f>
        <v>1.05</v>
      </c>
      <c r="J98" s="961"/>
      <c r="K98" s="962"/>
      <c r="L98" s="764"/>
      <c r="M98" s="764"/>
      <c r="N98" s="764"/>
      <c r="AG98" s="955"/>
      <c r="AH98" s="1634"/>
      <c r="AI98" s="955"/>
      <c r="AJ98" s="955"/>
      <c r="AK98" s="955"/>
      <c r="AL98" s="955"/>
      <c r="AM98" s="955"/>
      <c r="AN98" s="966"/>
      <c r="AO98" s="966"/>
      <c r="AP98" s="955"/>
    </row>
    <row r="99" spans="1:42" ht="15">
      <c r="A99" s="948"/>
      <c r="B99" s="1925"/>
      <c r="C99" s="959" t="s">
        <v>478</v>
      </c>
      <c r="D99" s="960">
        <f>D93</f>
        <v>0.75</v>
      </c>
      <c r="E99" s="974"/>
      <c r="F99" s="974"/>
      <c r="G99" s="974"/>
      <c r="H99" s="974"/>
      <c r="I99" s="960">
        <f>SUM(D99:H99)</f>
        <v>0.75</v>
      </c>
      <c r="J99" s="961"/>
      <c r="K99" s="962"/>
      <c r="L99" s="764"/>
      <c r="M99" s="764"/>
      <c r="N99" s="764"/>
      <c r="AG99" s="947"/>
      <c r="AH99" s="1635"/>
      <c r="AI99" s="947"/>
      <c r="AJ99" s="947"/>
      <c r="AK99" s="947"/>
      <c r="AL99" s="947"/>
      <c r="AM99" s="947"/>
      <c r="AN99" s="966"/>
      <c r="AO99" s="966"/>
      <c r="AP99" s="955"/>
    </row>
    <row r="100" spans="1:42" ht="15">
      <c r="A100" s="948"/>
      <c r="B100" s="1925"/>
      <c r="C100" s="959" t="s">
        <v>567</v>
      </c>
      <c r="D100" s="960">
        <f>D94</f>
        <v>0.94</v>
      </c>
      <c r="E100" s="974"/>
      <c r="F100" s="974"/>
      <c r="G100" s="974"/>
      <c r="H100" s="974"/>
      <c r="I100" s="960">
        <f>SUM(D100:H100)</f>
        <v>0.94</v>
      </c>
      <c r="J100" s="961"/>
      <c r="K100" s="962"/>
      <c r="L100" s="764"/>
      <c r="M100" s="764"/>
      <c r="N100" s="764"/>
      <c r="AG100" s="947"/>
      <c r="AH100" s="1635"/>
      <c r="AI100" s="947"/>
      <c r="AJ100" s="947"/>
      <c r="AK100" s="947"/>
      <c r="AL100" s="947"/>
      <c r="AM100" s="947"/>
      <c r="AN100" s="966"/>
      <c r="AO100" s="966"/>
      <c r="AP100" s="955"/>
    </row>
    <row r="101" spans="1:42" ht="15">
      <c r="A101" s="948"/>
      <c r="B101" s="1925"/>
      <c r="C101" s="959"/>
      <c r="D101" s="960"/>
      <c r="E101" s="960"/>
      <c r="F101" s="960"/>
      <c r="G101" s="960"/>
      <c r="H101" s="960"/>
      <c r="I101" s="960"/>
      <c r="J101" s="961"/>
      <c r="K101" s="962"/>
      <c r="L101" s="764"/>
      <c r="M101" s="764"/>
      <c r="N101" s="764"/>
      <c r="AG101" s="967"/>
      <c r="AH101" s="1636"/>
      <c r="AI101" s="967"/>
      <c r="AJ101" s="967"/>
      <c r="AK101" s="967"/>
      <c r="AL101" s="967"/>
      <c r="AM101" s="967"/>
      <c r="AN101" s="966"/>
      <c r="AO101" s="966"/>
      <c r="AP101" s="955"/>
    </row>
    <row r="102" spans="1:42" ht="15">
      <c r="A102" s="948"/>
      <c r="B102" s="1925"/>
      <c r="C102" s="959"/>
      <c r="D102" s="960"/>
      <c r="E102" s="960"/>
      <c r="F102" s="960"/>
      <c r="G102" s="960"/>
      <c r="H102" s="960"/>
      <c r="I102" s="960"/>
      <c r="J102" s="961"/>
      <c r="K102" s="962"/>
      <c r="L102" s="764"/>
      <c r="M102" s="764"/>
      <c r="N102" s="764"/>
      <c r="AG102" s="967"/>
      <c r="AH102" s="1636"/>
      <c r="AI102" s="967"/>
      <c r="AJ102" s="967"/>
      <c r="AK102" s="967"/>
      <c r="AL102" s="967"/>
      <c r="AM102" s="967"/>
      <c r="AN102" s="966"/>
      <c r="AO102" s="966"/>
      <c r="AP102" s="955"/>
    </row>
    <row r="103" spans="1:42" ht="15">
      <c r="A103" s="948"/>
      <c r="B103" s="1920" t="s">
        <v>20</v>
      </c>
      <c r="C103" s="1523" t="s">
        <v>924</v>
      </c>
      <c r="D103" s="960">
        <v>0.55000000000000004</v>
      </c>
      <c r="E103" s="974"/>
      <c r="F103" s="974"/>
      <c r="G103" s="974"/>
      <c r="H103" s="974"/>
      <c r="I103" s="960">
        <f>SUM(D103:H103)</f>
        <v>0.55000000000000004</v>
      </c>
      <c r="J103" s="961"/>
      <c r="K103" s="962"/>
      <c r="L103" s="764"/>
      <c r="M103" s="961"/>
      <c r="N103" s="961"/>
      <c r="AG103" s="968"/>
      <c r="AH103" s="1637"/>
      <c r="AI103" s="955"/>
      <c r="AJ103" s="970"/>
      <c r="AK103" s="969"/>
      <c r="AL103" s="971"/>
      <c r="AM103" s="972"/>
      <c r="AN103" s="966"/>
      <c r="AO103" s="966"/>
      <c r="AP103" s="955"/>
    </row>
    <row r="104" spans="1:42" ht="15">
      <c r="A104" s="948"/>
      <c r="B104" s="1921"/>
      <c r="C104" s="885" t="s">
        <v>14</v>
      </c>
      <c r="D104" s="960">
        <v>0.7</v>
      </c>
      <c r="E104" s="974"/>
      <c r="F104" s="974"/>
      <c r="G104" s="974"/>
      <c r="H104" s="974"/>
      <c r="I104" s="960">
        <f>SUM(D104:H104)</f>
        <v>0.7</v>
      </c>
      <c r="J104" s="961"/>
      <c r="K104" s="962"/>
      <c r="L104" s="764"/>
      <c r="M104" s="961"/>
      <c r="N104" s="961"/>
      <c r="AG104" s="968"/>
      <c r="AH104" s="1637"/>
      <c r="AI104" s="955"/>
      <c r="AJ104" s="969"/>
      <c r="AK104" s="969"/>
      <c r="AL104" s="971"/>
      <c r="AM104" s="972"/>
      <c r="AN104" s="966"/>
      <c r="AO104" s="966"/>
      <c r="AP104" s="955"/>
    </row>
    <row r="105" spans="1:42" ht="15">
      <c r="B105" s="1922"/>
      <c r="C105" s="886" t="s">
        <v>15</v>
      </c>
      <c r="D105" s="960">
        <v>1.8</v>
      </c>
      <c r="E105" s="974"/>
      <c r="F105" s="974"/>
      <c r="G105" s="974"/>
      <c r="H105" s="974"/>
      <c r="I105" s="960">
        <f>SUM(D105:H105)</f>
        <v>1.8</v>
      </c>
      <c r="J105" s="961"/>
      <c r="K105" s="962"/>
      <c r="L105" s="764"/>
      <c r="M105" s="961"/>
      <c r="N105" s="961"/>
      <c r="AG105" s="968"/>
      <c r="AH105" s="1637"/>
      <c r="AI105" s="955"/>
      <c r="AJ105" s="973"/>
      <c r="AK105" s="973"/>
      <c r="AL105" s="971"/>
      <c r="AM105" s="972"/>
      <c r="AN105" s="966"/>
      <c r="AO105" s="966"/>
      <c r="AP105" s="955"/>
    </row>
    <row r="106" spans="1:42" ht="15">
      <c r="B106" s="950" t="s">
        <v>16</v>
      </c>
      <c r="C106" s="959"/>
      <c r="D106" s="960">
        <v>0</v>
      </c>
      <c r="E106" s="974"/>
      <c r="F106" s="974"/>
      <c r="G106" s="974"/>
      <c r="H106" s="974"/>
      <c r="I106" s="960">
        <f>SUM(D106:H106)</f>
        <v>0</v>
      </c>
      <c r="J106" s="961"/>
      <c r="K106" s="962"/>
      <c r="L106" s="764"/>
      <c r="M106" s="764"/>
      <c r="N106" s="961"/>
      <c r="AG106" s="968"/>
      <c r="AH106" s="1637"/>
      <c r="AI106" s="955"/>
      <c r="AJ106" s="973"/>
      <c r="AK106" s="973"/>
      <c r="AL106" s="971"/>
      <c r="AM106" s="972"/>
      <c r="AN106" s="966"/>
      <c r="AO106" s="966"/>
      <c r="AP106" s="955"/>
    </row>
    <row r="107" spans="1:42" ht="15">
      <c r="B107" s="950"/>
      <c r="C107" s="959"/>
      <c r="D107" s="960"/>
      <c r="E107" s="960"/>
      <c r="F107" s="960"/>
      <c r="G107" s="960"/>
      <c r="H107" s="960"/>
      <c r="I107" s="960"/>
      <c r="J107" s="961"/>
      <c r="K107" s="962"/>
      <c r="L107" s="764"/>
      <c r="M107" s="764"/>
      <c r="N107" s="764"/>
      <c r="AG107" s="968"/>
      <c r="AH107" s="1637"/>
      <c r="AI107" s="955"/>
      <c r="AJ107" s="973"/>
      <c r="AK107" s="973"/>
      <c r="AL107" s="971"/>
      <c r="AM107" s="972"/>
      <c r="AN107" s="966"/>
      <c r="AO107" s="966"/>
      <c r="AP107" s="955"/>
    </row>
    <row r="108" spans="1:42" ht="15">
      <c r="B108" s="950"/>
      <c r="C108" s="959"/>
      <c r="D108" s="960"/>
      <c r="E108" s="960"/>
      <c r="F108" s="960"/>
      <c r="G108" s="960"/>
      <c r="H108" s="960"/>
      <c r="I108" s="960"/>
      <c r="J108" s="977"/>
      <c r="AG108" s="968"/>
      <c r="AH108" s="1637"/>
      <c r="AI108" s="955"/>
      <c r="AJ108" s="973"/>
      <c r="AK108" s="973"/>
      <c r="AL108" s="971"/>
      <c r="AM108" s="972"/>
      <c r="AN108" s="966"/>
      <c r="AO108" s="966"/>
      <c r="AP108" s="955"/>
    </row>
    <row r="109" spans="1:42" ht="15">
      <c r="AG109" s="947"/>
      <c r="AH109" s="1638"/>
      <c r="AI109" s="947"/>
      <c r="AJ109" s="978"/>
      <c r="AK109" s="978"/>
      <c r="AL109" s="971"/>
      <c r="AM109" s="972"/>
      <c r="AN109" s="966"/>
      <c r="AO109" s="966"/>
      <c r="AP109" s="955"/>
    </row>
    <row r="110" spans="1:42">
      <c r="AG110" s="947"/>
      <c r="AH110" s="1635"/>
      <c r="AI110" s="947"/>
      <c r="AJ110" s="953"/>
      <c r="AK110" s="979"/>
      <c r="AL110" s="972"/>
      <c r="AM110" s="972"/>
      <c r="AN110" s="966"/>
      <c r="AO110" s="966"/>
      <c r="AP110" s="947"/>
    </row>
    <row r="111" spans="1:42">
      <c r="B111" s="980" t="s">
        <v>209</v>
      </c>
      <c r="C111" s="981" t="s">
        <v>210</v>
      </c>
      <c r="D111" s="981" t="s">
        <v>210</v>
      </c>
      <c r="E111" s="981" t="s">
        <v>211</v>
      </c>
      <c r="F111" s="981" t="s">
        <v>212</v>
      </c>
      <c r="G111" s="982" t="s">
        <v>213</v>
      </c>
      <c r="H111" s="981" t="s">
        <v>214</v>
      </c>
      <c r="I111" s="981" t="s">
        <v>215</v>
      </c>
      <c r="J111" s="981" t="s">
        <v>216</v>
      </c>
    </row>
    <row r="112" spans="1:42">
      <c r="B112" s="983"/>
      <c r="C112" s="984" t="s">
        <v>217</v>
      </c>
      <c r="D112" s="984" t="s">
        <v>218</v>
      </c>
      <c r="E112" s="984" t="s">
        <v>188</v>
      </c>
      <c r="F112" s="985" t="s">
        <v>219</v>
      </c>
      <c r="G112" s="985" t="s">
        <v>190</v>
      </c>
      <c r="H112" s="986"/>
      <c r="I112" s="984" t="s">
        <v>220</v>
      </c>
      <c r="J112" s="984"/>
    </row>
    <row r="113" spans="1:95" ht="15">
      <c r="B113" s="987" t="s">
        <v>221</v>
      </c>
      <c r="C113" s="988">
        <f>'Annex 6 Calc AT'!J12</f>
        <v>77.785651488141937</v>
      </c>
      <c r="D113" s="989">
        <f>C52</f>
        <v>46.15024903498341</v>
      </c>
      <c r="E113" s="990">
        <f>'Kakamega Financials'!B9</f>
        <v>214878185</v>
      </c>
      <c r="F113" s="991">
        <f>'Annex 6 Calc AT'!H12</f>
        <v>0.94</v>
      </c>
      <c r="G113" s="992">
        <f t="shared" ref="G113:G121" si="151">E113*F113</f>
        <v>201985493.89999998</v>
      </c>
      <c r="H113" s="990">
        <f>'Annex 6 Calc AT'!D12</f>
        <v>208275258</v>
      </c>
      <c r="I113" s="993">
        <f t="shared" ref="I113:I121" si="152">G113/H113*100</f>
        <v>96.980071391869302</v>
      </c>
      <c r="J113" s="994">
        <f t="shared" ref="J113:J121" si="153">G113-H113</f>
        <v>-6289764.1000000238</v>
      </c>
      <c r="K113" s="948"/>
    </row>
    <row r="114" spans="1:95" ht="15">
      <c r="A114" s="764"/>
      <c r="B114" s="995" t="s">
        <v>222</v>
      </c>
      <c r="C114" s="988">
        <f>'Annex 6 Calc AT'!J13</f>
        <v>85.920360913986414</v>
      </c>
      <c r="D114" s="996">
        <f>M52</f>
        <v>40.596834649096962</v>
      </c>
      <c r="E114" s="997">
        <f>'Kakamega Financials'!C10</f>
        <v>227823851</v>
      </c>
      <c r="F114" s="998">
        <f>'Annex 6 Calc AT'!H13</f>
        <v>0.94</v>
      </c>
      <c r="G114" s="992">
        <f t="shared" si="151"/>
        <v>214154419.94</v>
      </c>
      <c r="H114" s="997">
        <f>'Annex 6 Calc AT'!D13</f>
        <v>247042216</v>
      </c>
      <c r="I114" s="999">
        <f t="shared" si="152"/>
        <v>86.687378136212956</v>
      </c>
      <c r="J114" s="1000">
        <f t="shared" si="153"/>
        <v>-32887796.060000002</v>
      </c>
      <c r="K114" s="962"/>
      <c r="L114" s="764"/>
    </row>
    <row r="115" spans="1:95" ht="15">
      <c r="A115" s="962"/>
      <c r="B115" s="995" t="s">
        <v>223</v>
      </c>
      <c r="C115" s="988">
        <f>'Annex 6 Calc AT'!J14</f>
        <v>80.339637036395729</v>
      </c>
      <c r="D115" s="996">
        <f>W52</f>
        <v>45.415672963206603</v>
      </c>
      <c r="E115" s="997">
        <f>'Kakamega Financials'!D9</f>
        <v>223635551</v>
      </c>
      <c r="F115" s="998">
        <f>'Annex 6 Calc AT'!H14</f>
        <v>0.94</v>
      </c>
      <c r="G115" s="992">
        <f t="shared" si="151"/>
        <v>210217417.94</v>
      </c>
      <c r="H115" s="997">
        <f>'Annex 6 Calc AT'!D14</f>
        <v>231186938.59999999</v>
      </c>
      <c r="I115" s="999">
        <f t="shared" si="152"/>
        <v>90.929625701613929</v>
      </c>
      <c r="J115" s="1000">
        <f t="shared" si="153"/>
        <v>-20969520.659999996</v>
      </c>
      <c r="K115" s="962"/>
      <c r="L115" s="1001"/>
    </row>
    <row r="116" spans="1:95" s="764" customFormat="1" ht="15">
      <c r="A116" s="962"/>
      <c r="B116" s="995" t="s">
        <v>224</v>
      </c>
      <c r="C116" s="988">
        <f>'Annex 6 Calc AT'!J15</f>
        <v>65.439081012037292</v>
      </c>
      <c r="D116" s="996">
        <f>AH52</f>
        <v>48.540535624957563</v>
      </c>
      <c r="E116" s="997">
        <f>'Kakamega Financials'!E9</f>
        <v>251535346.29000002</v>
      </c>
      <c r="F116" s="998">
        <f>'Annex 6 Calc AT'!H15</f>
        <v>0.87</v>
      </c>
      <c r="G116" s="992">
        <f>E116*F116</f>
        <v>218835751.2723</v>
      </c>
      <c r="H116" s="997">
        <f>'Annex 6 Calc AT'!D15</f>
        <v>290968238.85159999</v>
      </c>
      <c r="I116" s="999">
        <f>G116/H116*100</f>
        <v>75.209497825606633</v>
      </c>
      <c r="J116" s="1000">
        <f t="shared" si="153"/>
        <v>-72132487.579299986</v>
      </c>
      <c r="K116" s="962"/>
      <c r="L116" s="1002"/>
      <c r="AH116" s="1617"/>
      <c r="AS116" s="1639"/>
      <c r="AY116" s="1742"/>
      <c r="BD116" s="1722"/>
      <c r="BJ116" s="1742"/>
      <c r="BO116" s="1722"/>
      <c r="BU116" s="1742"/>
      <c r="BZ116" s="1722"/>
      <c r="CF116" s="1742"/>
      <c r="CK116" s="1722"/>
      <c r="CQ116" s="1742"/>
    </row>
    <row r="117" spans="1:95">
      <c r="A117" s="948"/>
      <c r="B117" s="1003" t="s">
        <v>225</v>
      </c>
      <c r="C117" s="1004">
        <f>'Annex 6 Calc AT'!J16</f>
        <v>91.307265186948186</v>
      </c>
      <c r="D117" s="1004">
        <f>AQ52</f>
        <v>67.994518905425508</v>
      </c>
      <c r="E117" s="1005">
        <f>AQ51</f>
        <v>453404680.22701097</v>
      </c>
      <c r="F117" s="1006">
        <f>'Annex 6 Calc AT'!H16</f>
        <v>0.9</v>
      </c>
      <c r="G117" s="1007">
        <f>E117*F117</f>
        <v>408064212.20430988</v>
      </c>
      <c r="H117" s="1007">
        <f>'Annex 6 Calc AT'!D16</f>
        <v>394701191.55748051</v>
      </c>
      <c r="I117" s="1008">
        <f t="shared" si="152"/>
        <v>103.38560433377441</v>
      </c>
      <c r="J117" s="1009">
        <f>G117-H117</f>
        <v>13363020.646829367</v>
      </c>
      <c r="K117" s="948"/>
      <c r="L117" s="948"/>
      <c r="M117" s="948"/>
    </row>
    <row r="118" spans="1:95">
      <c r="A118" s="948"/>
      <c r="B118" s="1003" t="s">
        <v>226</v>
      </c>
      <c r="C118" s="1004">
        <f>'Annex 6 Calc AT'!J17</f>
        <v>91.409293096374952</v>
      </c>
      <c r="D118" s="1004">
        <f>BC52</f>
        <v>68.400964395317089</v>
      </c>
      <c r="E118" s="1005">
        <f>BD51</f>
        <v>456164311.89389342</v>
      </c>
      <c r="F118" s="1006">
        <f>'Annex 6 Calc AT'!H17</f>
        <v>0.92</v>
      </c>
      <c r="G118" s="1007">
        <f t="shared" si="151"/>
        <v>419671166.94238198</v>
      </c>
      <c r="H118" s="1007">
        <f>'Annex 6 Calc AT'!D17</f>
        <v>403923174.30405569</v>
      </c>
      <c r="I118" s="1008">
        <f>G118/H118*100</f>
        <v>103.89875937805735</v>
      </c>
      <c r="J118" s="1009">
        <f t="shared" si="153"/>
        <v>15747992.638326287</v>
      </c>
      <c r="K118" s="948"/>
      <c r="L118" s="948"/>
      <c r="M118" s="948"/>
    </row>
    <row r="119" spans="1:95">
      <c r="A119" s="948"/>
      <c r="B119" s="1003" t="s">
        <v>227</v>
      </c>
      <c r="C119" s="1004">
        <f>'Annex 6 Calc AT'!J18</f>
        <v>92.737112471317602</v>
      </c>
      <c r="D119" s="1004">
        <f>BN52</f>
        <v>68.411073668438718</v>
      </c>
      <c r="E119" s="1005">
        <f>BO51</f>
        <v>463058837.48706394</v>
      </c>
      <c r="F119" s="1006">
        <f>'Annex 6 Calc AT'!H18</f>
        <v>0.93</v>
      </c>
      <c r="G119" s="1007">
        <f t="shared" si="151"/>
        <v>430644718.86296952</v>
      </c>
      <c r="H119" s="1007">
        <f>'Annex 6 Calc AT'!D18</f>
        <v>414244843.23769629</v>
      </c>
      <c r="I119" s="1008">
        <f t="shared" si="152"/>
        <v>103.95898123850944</v>
      </c>
      <c r="J119" s="1009">
        <f t="shared" si="153"/>
        <v>16399875.625273228</v>
      </c>
      <c r="K119" s="948"/>
      <c r="L119" s="948"/>
      <c r="M119" s="948"/>
    </row>
    <row r="120" spans="1:95">
      <c r="A120" s="948"/>
      <c r="B120" s="1003" t="s">
        <v>228</v>
      </c>
      <c r="C120" s="1004">
        <f>'Annex 6 Calc AT'!J19</f>
        <v>92.785367416022183</v>
      </c>
      <c r="D120" s="1004">
        <f>BY52</f>
        <v>68.421675219207998</v>
      </c>
      <c r="E120" s="1005">
        <f>BY51</f>
        <v>469960150.02476215</v>
      </c>
      <c r="F120" s="1006">
        <f>'Annex 6 Calc AT'!H19</f>
        <v>0.95</v>
      </c>
      <c r="G120" s="1007">
        <f t="shared" si="151"/>
        <v>446462142.52352405</v>
      </c>
      <c r="H120" s="1007">
        <f>'Annex 6 Calc AT'!D19</f>
        <v>423373518.62366927</v>
      </c>
      <c r="I120" s="1008">
        <f t="shared" si="152"/>
        <v>105.45348796847587</v>
      </c>
      <c r="J120" s="1009">
        <f t="shared" si="153"/>
        <v>23088623.899854779</v>
      </c>
      <c r="K120" s="948"/>
      <c r="L120" s="948"/>
      <c r="M120" s="948"/>
    </row>
    <row r="121" spans="1:95">
      <c r="A121" s="948"/>
      <c r="B121" s="1003" t="s">
        <v>229</v>
      </c>
      <c r="C121" s="1004">
        <f>'Annex 6 Calc AT'!J20</f>
        <v>97.153156630401455</v>
      </c>
      <c r="D121" s="1010">
        <f>CJ52</f>
        <v>68.432763431641177</v>
      </c>
      <c r="E121" s="1005">
        <f>CJ51</f>
        <v>476868385.24587852</v>
      </c>
      <c r="F121" s="1006">
        <f>'Annex 6 Calc AT'!H20</f>
        <v>0.95</v>
      </c>
      <c r="G121" s="1007">
        <f t="shared" si="151"/>
        <v>453024965.98358458</v>
      </c>
      <c r="H121" s="1007">
        <f>'Annex 6 Calc AT'!D20</f>
        <v>443303453.04971921</v>
      </c>
      <c r="I121" s="1008">
        <f t="shared" si="152"/>
        <v>102.19297027058687</v>
      </c>
      <c r="J121" s="1009">
        <f t="shared" si="153"/>
        <v>9721512.9338653684</v>
      </c>
      <c r="K121" s="948"/>
      <c r="L121" s="948"/>
      <c r="M121" s="948"/>
    </row>
    <row r="122" spans="1:95">
      <c r="E122" s="1011"/>
      <c r="G122" s="1012">
        <f>SUM(G117:G121)</f>
        <v>2157867206.5167699</v>
      </c>
      <c r="H122" s="1012">
        <f>SUM(H117:H121)</f>
        <v>2079546180.7726212</v>
      </c>
      <c r="I122" s="977">
        <f>AVERAGE(I117:I121)</f>
        <v>103.7779606378808</v>
      </c>
      <c r="J122" s="994"/>
    </row>
    <row r="123" spans="1:95">
      <c r="B123" s="763" t="s">
        <v>866</v>
      </c>
      <c r="C123" s="1013">
        <f>D115</f>
        <v>45.415672963206603</v>
      </c>
      <c r="D123" s="763" t="s">
        <v>230</v>
      </c>
      <c r="E123" s="791"/>
      <c r="G123" s="1014" t="s">
        <v>231</v>
      </c>
      <c r="H123" s="1015">
        <f>G122-H122</f>
        <v>78321025.744148731</v>
      </c>
      <c r="I123" s="1763"/>
      <c r="J123" s="994"/>
    </row>
    <row r="124" spans="1:95">
      <c r="B124" s="763" t="s">
        <v>867</v>
      </c>
      <c r="E124" s="1016">
        <f>AVERAGE(D116:D118)</f>
        <v>61.645339641900051</v>
      </c>
      <c r="J124" s="994"/>
    </row>
    <row r="126" spans="1:95">
      <c r="H126" s="948"/>
    </row>
    <row r="129" spans="3:10">
      <c r="C129" s="948"/>
      <c r="D129" s="948"/>
      <c r="E129" s="948"/>
      <c r="F129" s="948"/>
      <c r="G129" s="948"/>
      <c r="H129" s="948"/>
      <c r="I129" s="948"/>
      <c r="J129" s="948"/>
    </row>
  </sheetData>
  <mergeCells count="41">
    <mergeCell ref="B6:K6"/>
    <mergeCell ref="L6:U6"/>
    <mergeCell ref="V6:AE6"/>
    <mergeCell ref="AG6:AP6"/>
    <mergeCell ref="AC11:AE11"/>
    <mergeCell ref="BC6:BM6"/>
    <mergeCell ref="BN6:BX6"/>
    <mergeCell ref="BY6:CI6"/>
    <mergeCell ref="CJ6:CT6"/>
    <mergeCell ref="AZ11:BB11"/>
    <mergeCell ref="BC11:BI11"/>
    <mergeCell ref="BK11:BM11"/>
    <mergeCell ref="BN11:BT11"/>
    <mergeCell ref="CJ11:CP11"/>
    <mergeCell ref="CR11:CT11"/>
    <mergeCell ref="AQ6:BB6"/>
    <mergeCell ref="CJ49:CK49"/>
    <mergeCell ref="AQ11:AX11"/>
    <mergeCell ref="B11:H11"/>
    <mergeCell ref="BV11:BX11"/>
    <mergeCell ref="BY11:CE11"/>
    <mergeCell ref="CG11:CI11"/>
    <mergeCell ref="AG11:AM11"/>
    <mergeCell ref="B49:C49"/>
    <mergeCell ref="L49:M49"/>
    <mergeCell ref="V49:W49"/>
    <mergeCell ref="AN11:AP11"/>
    <mergeCell ref="I11:K11"/>
    <mergeCell ref="L11:R11"/>
    <mergeCell ref="S11:U11"/>
    <mergeCell ref="V11:AB11"/>
    <mergeCell ref="AG73:AK73"/>
    <mergeCell ref="AQ49:AS49"/>
    <mergeCell ref="BC49:BD49"/>
    <mergeCell ref="BN49:BO49"/>
    <mergeCell ref="BY49:BZ49"/>
    <mergeCell ref="B85:B90"/>
    <mergeCell ref="B103:B105"/>
    <mergeCell ref="E75:E81"/>
    <mergeCell ref="B91:B96"/>
    <mergeCell ref="B97:B102"/>
  </mergeCells>
  <phoneticPr fontId="42" type="noConversion"/>
  <printOptions gridLines="1"/>
  <pageMargins left="0.25" right="0.25" top="0.75" bottom="0.75" header="0.3" footer="0.3"/>
  <pageSetup paperSize="9" scale="10" orientation="landscape" r:id="rId1"/>
  <ignoredErrors>
    <ignoredError sqref="AL16 AO4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Tariff rates</vt:lpstr>
      <vt:lpstr>Annex 2</vt:lpstr>
      <vt:lpstr>Annex 3 Total O&amp;M</vt:lpstr>
      <vt:lpstr>Annex 3a - Water</vt:lpstr>
      <vt:lpstr>Annex 3a- Sewer</vt:lpstr>
      <vt:lpstr>Annex 4 Debt WSP</vt:lpstr>
      <vt:lpstr>Annex 5 Perf WSP</vt:lpstr>
      <vt:lpstr>Annex 6 Calc AT</vt:lpstr>
      <vt:lpstr>Annex 7</vt:lpstr>
      <vt:lpstr>Annex 8</vt:lpstr>
      <vt:lpstr>Annex 9</vt:lpstr>
      <vt:lpstr>Annex 10</vt:lpstr>
      <vt:lpstr>Banding</vt:lpstr>
      <vt:lpstr>KACWASCO tariff bands</vt:lpstr>
      <vt:lpstr>PRODUCTION AND BILLING</vt:lpstr>
      <vt:lpstr>Consumption pattern 2020.21</vt:lpstr>
      <vt:lpstr>Kakamega data</vt:lpstr>
      <vt:lpstr>Kakamega Financials</vt:lpstr>
      <vt:lpstr>1. World bank loan</vt:lpstr>
      <vt:lpstr>2. KfW Loan Schedule</vt:lpstr>
      <vt:lpstr>7.Combined  Loan  Schedule </vt:lpstr>
      <vt:lpstr> Investments 2021-26</vt:lpstr>
      <vt:lpstr>Asset Renewal schedule</vt:lpstr>
      <vt:lpstr>Asset Maintenance </vt:lpstr>
      <vt:lpstr>Sheet1</vt:lpstr>
      <vt:lpstr>NRW Self Assessment Matrix</vt:lpstr>
      <vt:lpstr>NRW Management </vt:lpstr>
      <vt:lpstr>NEW CONSUMPTIONS PATTERN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Wainaina</dc:creator>
  <cp:lastModifiedBy>User</cp:lastModifiedBy>
  <cp:lastPrinted>2021-06-23T13:20:54Z</cp:lastPrinted>
  <dcterms:created xsi:type="dcterms:W3CDTF">2021-01-02T16:37:58Z</dcterms:created>
  <dcterms:modified xsi:type="dcterms:W3CDTF">2021-09-07T11:10:51Z</dcterms:modified>
</cp:coreProperties>
</file>